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emf" ContentType="image/x-em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harts/chart4.xml" ContentType="application/vnd.openxmlformats-officedocument.drawingml.chart+xml"/>
  <Override PartName="/xl/drawings/drawing6.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harts/chart5.xml" ContentType="application/vnd.openxmlformats-officedocument.drawingml.chart+xml"/>
  <Override PartName="/xl/drawings/drawing7.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4.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harts/chart10.xml" ContentType="application/vnd.openxmlformats-officedocument.drawingml.chart+xml"/>
  <Override PartName="/xl/drawings/drawing10.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harts/chart11.xml" ContentType="application/vnd.openxmlformats-officedocument.drawingml.chart+xml"/>
  <Override PartName="/xl/drawings/drawing11.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harts/chart12.xml" ContentType="application/vnd.openxmlformats-officedocument.drawingml.chart+xml"/>
  <Override PartName="/xl/drawings/drawing12.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drawings/drawing13.xml" ContentType="application/vnd.openxmlformats-officedocument.drawing+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04"/>
  <workbookPr codeName="ThisWorkbook" autoCompressPictures="0"/>
  <workbookProtection workbookPassword="CD8E" lockStructure="1"/>
  <bookViews>
    <workbookView xWindow="4980" yWindow="0" windowWidth="20360" windowHeight="14980"/>
  </bookViews>
  <sheets>
    <sheet name="Login" sheetId="2" r:id="rId1"/>
    <sheet name="Marks" sheetId="5" state="hidden" r:id="rId2"/>
    <sheet name="ConstructingDemand" sheetId="25" state="hidden" r:id="rId3"/>
    <sheet name="ConstructingDemandSols" sheetId="23" state="hidden" r:id="rId4"/>
    <sheet name="BuildingDemand" sheetId="38" r:id="rId5"/>
    <sheet name="BuildingSupply" sheetId="39" r:id="rId6"/>
    <sheet name="ConstructingSupply" sheetId="27" state="hidden" r:id="rId7"/>
    <sheet name="Trade" sheetId="29" r:id="rId8"/>
    <sheet name="TradeSols" sheetId="28" state="hidden" r:id="rId9"/>
    <sheet name="Scale" sheetId="33" r:id="rId10"/>
    <sheet name="ScalSols" sheetId="32" state="hidden" r:id="rId11"/>
    <sheet name="ConDviSols" sheetId="31" state="hidden" r:id="rId12"/>
    <sheet name="MarketMaker" sheetId="34" r:id="rId13"/>
    <sheet name="Responses" sheetId="36" state="hidden" r:id="rId14"/>
    <sheet name="MMSols" sheetId="35" state="hidden" r:id="rId15"/>
    <sheet name="ConDivSols" sheetId="30" state="hidden" r:id="rId16"/>
    <sheet name="CSSols" sheetId="24" state="hidden" r:id="rId17"/>
    <sheet name="ID" sheetId="3" state="hidden" r:id="rId18"/>
    <sheet name="Submission" sheetId="37" r:id="rId1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80" i="37" l="1"/>
  <c r="C78" i="37"/>
  <c r="C76" i="37"/>
  <c r="C74" i="37"/>
  <c r="C68" i="37"/>
  <c r="C66" i="37"/>
  <c r="C58" i="37"/>
  <c r="C56" i="37"/>
  <c r="D26" i="39"/>
  <c r="B56" i="37"/>
  <c r="C34" i="37"/>
  <c r="C32" i="37"/>
  <c r="C26" i="37"/>
  <c r="C24" i="37"/>
  <c r="D42" i="39"/>
  <c r="B66" i="37"/>
  <c r="C42" i="27"/>
  <c r="D41" i="39"/>
  <c r="D40" i="39"/>
  <c r="D39" i="39"/>
  <c r="D38" i="39"/>
  <c r="D37" i="39"/>
  <c r="C37" i="27"/>
  <c r="B41" i="39"/>
  <c r="B40" i="39"/>
  <c r="B39" i="39"/>
  <c r="B38" i="39"/>
  <c r="B37" i="39"/>
  <c r="B37" i="27"/>
  <c r="B1" i="39"/>
  <c r="D25" i="39"/>
  <c r="D24" i="39"/>
  <c r="D23" i="39"/>
  <c r="D22" i="39"/>
  <c r="D21" i="39"/>
  <c r="B25" i="39"/>
  <c r="B24" i="39"/>
  <c r="B23" i="39"/>
  <c r="B22" i="39"/>
  <c r="B21" i="39"/>
  <c r="B21" i="27"/>
  <c r="C37" i="25"/>
  <c r="D42" i="38"/>
  <c r="B34" i="37"/>
  <c r="D41" i="38"/>
  <c r="D40" i="38"/>
  <c r="D39" i="38"/>
  <c r="D38" i="38"/>
  <c r="D37" i="38"/>
  <c r="D26" i="38"/>
  <c r="B24" i="37"/>
  <c r="C26" i="25"/>
  <c r="D25" i="38"/>
  <c r="D24" i="38"/>
  <c r="D23" i="38"/>
  <c r="D22" i="38"/>
  <c r="D21" i="38"/>
  <c r="C21" i="25"/>
  <c r="B26" i="35"/>
  <c r="Q1" i="31"/>
  <c r="H73" i="28"/>
  <c r="H72" i="28"/>
  <c r="H71" i="28"/>
  <c r="H70" i="28"/>
  <c r="H69" i="28"/>
  <c r="H66" i="29"/>
  <c r="H68" i="29"/>
  <c r="H67" i="29"/>
  <c r="B68" i="29"/>
  <c r="B67" i="29"/>
  <c r="B66" i="29"/>
  <c r="H28" i="28"/>
  <c r="H27" i="28"/>
  <c r="H26" i="28"/>
  <c r="H25" i="28"/>
  <c r="H24" i="28"/>
  <c r="F24" i="28"/>
  <c r="D24" i="28"/>
  <c r="H23" i="29"/>
  <c r="H22" i="29"/>
  <c r="H21" i="29"/>
  <c r="F47" i="24"/>
  <c r="I47" i="39"/>
  <c r="C41" i="27"/>
  <c r="B41" i="27"/>
  <c r="C40" i="27"/>
  <c r="B40" i="27"/>
  <c r="C39" i="27"/>
  <c r="B39" i="27"/>
  <c r="C38" i="27"/>
  <c r="B38" i="27"/>
  <c r="F31" i="24"/>
  <c r="I31" i="39"/>
  <c r="B58" i="37"/>
  <c r="C26" i="27"/>
  <c r="C25" i="27"/>
  <c r="C24" i="27"/>
  <c r="C23" i="27"/>
  <c r="C22" i="27"/>
  <c r="C21" i="27"/>
  <c r="B1" i="27"/>
  <c r="B49" i="39"/>
  <c r="B68" i="37"/>
  <c r="D35" i="39"/>
  <c r="B33" i="39"/>
  <c r="C25" i="25"/>
  <c r="C24" i="25"/>
  <c r="C23" i="25"/>
  <c r="C22" i="25"/>
  <c r="C42" i="25"/>
  <c r="C41" i="25"/>
  <c r="C40" i="25"/>
  <c r="C39" i="25"/>
  <c r="C38" i="25"/>
  <c r="C14" i="23"/>
  <c r="JB2" i="37"/>
  <c r="JB3" i="37"/>
  <c r="JB1" i="37"/>
  <c r="C152" i="37"/>
  <c r="C150" i="37"/>
  <c r="C148" i="37"/>
  <c r="C146" i="37"/>
  <c r="C132" i="37"/>
  <c r="C130" i="37"/>
  <c r="C128" i="37"/>
  <c r="C126" i="37"/>
  <c r="C124" i="37"/>
  <c r="C122" i="37"/>
  <c r="C120" i="37"/>
  <c r="C118" i="37"/>
  <c r="C92" i="37"/>
  <c r="C91" i="37"/>
  <c r="C90" i="37"/>
  <c r="C89" i="37"/>
  <c r="C93" i="37"/>
  <c r="C95" i="37"/>
  <c r="C97" i="37"/>
  <c r="C108" i="37"/>
  <c r="C107" i="37"/>
  <c r="C106" i="37"/>
  <c r="C105" i="37"/>
  <c r="C109" i="37"/>
  <c r="C111" i="37"/>
  <c r="C113" i="37"/>
  <c r="C115" i="37"/>
  <c r="C63" i="37"/>
  <c r="C62" i="37"/>
  <c r="C61" i="37"/>
  <c r="C60" i="37"/>
  <c r="C64" i="37"/>
  <c r="C70" i="37"/>
  <c r="C72" i="37"/>
  <c r="C54" i="37"/>
  <c r="C53" i="37"/>
  <c r="C52" i="37"/>
  <c r="C51" i="37"/>
  <c r="C50" i="37"/>
  <c r="C46" i="37"/>
  <c r="C44" i="37"/>
  <c r="C42" i="37"/>
  <c r="C40" i="37"/>
  <c r="C38" i="37"/>
  <c r="C36" i="37"/>
  <c r="C31" i="37"/>
  <c r="C30" i="37"/>
  <c r="C29" i="37"/>
  <c r="C28" i="37"/>
  <c r="C22" i="37"/>
  <c r="C21" i="37"/>
  <c r="C20" i="37"/>
  <c r="C19" i="37"/>
  <c r="C18" i="37"/>
  <c r="C14" i="37"/>
  <c r="C13" i="37"/>
  <c r="C12" i="37"/>
  <c r="C2" i="3"/>
  <c r="E3" i="3"/>
  <c r="B2" i="3"/>
  <c r="D6" i="3"/>
  <c r="A2" i="3"/>
  <c r="C6" i="3"/>
  <c r="A26" i="35"/>
  <c r="C26" i="35"/>
  <c r="F28" i="28"/>
  <c r="C87" i="37"/>
  <c r="F26" i="28"/>
  <c r="C85" i="37"/>
  <c r="C83" i="37"/>
  <c r="F27" i="28"/>
  <c r="F25" i="28"/>
  <c r="C84" i="37"/>
  <c r="F51" i="24"/>
  <c r="I2" i="3"/>
  <c r="G2" i="3"/>
  <c r="D4" i="36"/>
  <c r="F73" i="28"/>
  <c r="C103" i="37"/>
  <c r="F72" i="28"/>
  <c r="C102" i="37"/>
  <c r="F71" i="28"/>
  <c r="C101" i="37"/>
  <c r="F70" i="28"/>
  <c r="F69" i="28"/>
  <c r="C99" i="37"/>
  <c r="H2" i="3"/>
  <c r="D5" i="36"/>
  <c r="F51" i="23"/>
  <c r="F76" i="23"/>
  <c r="H77" i="38"/>
  <c r="C80" i="23"/>
  <c r="F81" i="38"/>
  <c r="C84" i="23"/>
  <c r="F85" i="38"/>
  <c r="C84" i="24"/>
  <c r="C80" i="24"/>
  <c r="F76" i="24"/>
  <c r="H1"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B5" i="24"/>
  <c r="C5" i="24"/>
  <c r="B6" i="24"/>
  <c r="B7" i="24"/>
  <c r="B8" i="24"/>
  <c r="B9" i="24"/>
  <c r="B10" i="24"/>
  <c r="I58" i="24"/>
  <c r="L60" i="39"/>
  <c r="F90" i="24"/>
  <c r="B14" i="35"/>
  <c r="B15" i="35"/>
  <c r="B15" i="34"/>
  <c r="C15" i="34"/>
  <c r="B16" i="35"/>
  <c r="B17" i="35"/>
  <c r="B17" i="34"/>
  <c r="C17" i="34"/>
  <c r="F90" i="23"/>
  <c r="H90" i="38"/>
  <c r="B46" i="37"/>
  <c r="C84" i="32"/>
  <c r="C90" i="32"/>
  <c r="C90" i="33"/>
  <c r="D6" i="36"/>
  <c r="D7" i="36"/>
  <c r="D8" i="36"/>
  <c r="D10" i="36"/>
  <c r="D11" i="36"/>
  <c r="D12" i="36"/>
  <c r="D13" i="36"/>
  <c r="D14" i="36"/>
  <c r="D15" i="36"/>
  <c r="D16" i="36"/>
  <c r="D17" i="36"/>
  <c r="D18" i="36"/>
  <c r="D19" i="36"/>
  <c r="D20" i="36"/>
  <c r="D21" i="36"/>
  <c r="D22" i="36"/>
  <c r="D23" i="36"/>
  <c r="D24" i="36"/>
  <c r="D25" i="36"/>
  <c r="D26" i="36"/>
  <c r="D27" i="36"/>
  <c r="D28" i="36"/>
  <c r="D30" i="36"/>
  <c r="D31" i="36"/>
  <c r="D32" i="36"/>
  <c r="D33" i="36"/>
  <c r="D34" i="36"/>
  <c r="D35" i="36"/>
  <c r="D36" i="36"/>
  <c r="D37" i="36"/>
  <c r="D38" i="36"/>
  <c r="D39" i="36"/>
  <c r="D40" i="36"/>
  <c r="D41" i="36"/>
  <c r="D42" i="36"/>
  <c r="D43" i="36"/>
  <c r="D44" i="36"/>
  <c r="D45" i="36"/>
  <c r="D46" i="36"/>
  <c r="D47" i="36"/>
  <c r="D48" i="36"/>
  <c r="D55" i="36"/>
  <c r="D56" i="36"/>
  <c r="D57" i="36"/>
  <c r="D58" i="36"/>
  <c r="D59" i="36"/>
  <c r="D60" i="36"/>
  <c r="D61" i="36"/>
  <c r="D67" i="36"/>
  <c r="D68" i="36"/>
  <c r="D69" i="36"/>
  <c r="D70" i="36"/>
  <c r="D71" i="36"/>
  <c r="D72" i="36"/>
  <c r="D73" i="36"/>
  <c r="D74" i="36"/>
  <c r="D76" i="36"/>
  <c r="D77" i="36"/>
  <c r="D78" i="36"/>
  <c r="D79" i="36"/>
  <c r="D80" i="36"/>
  <c r="D81" i="36"/>
  <c r="D82" i="36"/>
  <c r="D83" i="36"/>
  <c r="D95" i="36"/>
  <c r="D96" i="36"/>
  <c r="D97" i="36"/>
  <c r="D98" i="36"/>
  <c r="B1" i="34"/>
  <c r="B13" i="34"/>
  <c r="C13" i="34"/>
  <c r="B14" i="34"/>
  <c r="C14" i="34"/>
  <c r="B16" i="34"/>
  <c r="C16" i="34"/>
  <c r="C38" i="32"/>
  <c r="C38" i="33"/>
  <c r="B118" i="37"/>
  <c r="C39" i="32"/>
  <c r="C39" i="33"/>
  <c r="C42" i="32"/>
  <c r="C42" i="33"/>
  <c r="B120" i="37"/>
  <c r="C43" i="32"/>
  <c r="C43" i="33"/>
  <c r="C54" i="32"/>
  <c r="C65" i="32"/>
  <c r="C69" i="32"/>
  <c r="C69" i="33"/>
  <c r="C77" i="32"/>
  <c r="C77" i="33"/>
  <c r="B130" i="37"/>
  <c r="C79" i="32"/>
  <c r="C79" i="33"/>
  <c r="C82" i="32"/>
  <c r="C82" i="33"/>
  <c r="B132" i="37"/>
  <c r="C18" i="33"/>
  <c r="C26" i="33"/>
  <c r="C27" i="33"/>
  <c r="D27" i="33"/>
  <c r="E27" i="33"/>
  <c r="C28" i="33"/>
  <c r="C29" i="33"/>
  <c r="K29" i="33"/>
  <c r="C30" i="33"/>
  <c r="J30" i="33"/>
  <c r="C31" i="33"/>
  <c r="H31" i="33"/>
  <c r="C32" i="33"/>
  <c r="C33" i="33"/>
  <c r="C35" i="33"/>
  <c r="K27" i="28"/>
  <c r="J27" i="29"/>
  <c r="B92" i="37"/>
  <c r="M46" i="28"/>
  <c r="M47" i="28"/>
  <c r="M48" i="28"/>
  <c r="M49" i="28"/>
  <c r="S74" i="28"/>
  <c r="J93" i="28"/>
  <c r="J94" i="28"/>
  <c r="J95" i="28"/>
  <c r="J96" i="28"/>
  <c r="O95" i="28"/>
  <c r="O96" i="28"/>
  <c r="B1" i="29"/>
  <c r="B6" i="29"/>
  <c r="C6" i="29"/>
  <c r="E6" i="29"/>
  <c r="F6" i="29"/>
  <c r="B7" i="29"/>
  <c r="E7" i="29"/>
  <c r="B8" i="29"/>
  <c r="E8" i="29"/>
  <c r="B9" i="29"/>
  <c r="E9" i="29"/>
  <c r="B10" i="29"/>
  <c r="E10" i="29"/>
  <c r="B11" i="29"/>
  <c r="E11" i="29"/>
  <c r="B13" i="29"/>
  <c r="B21" i="29"/>
  <c r="B22" i="29"/>
  <c r="B23" i="29"/>
  <c r="B24" i="29"/>
  <c r="B25" i="29"/>
  <c r="B26" i="29"/>
  <c r="B27" i="29"/>
  <c r="B28" i="29"/>
  <c r="B32" i="29"/>
  <c r="B33" i="29"/>
  <c r="C33" i="29"/>
  <c r="D33" i="29"/>
  <c r="E33" i="29"/>
  <c r="F33" i="29"/>
  <c r="B39" i="29"/>
  <c r="B40" i="29"/>
  <c r="C40" i="29"/>
  <c r="D40" i="29"/>
  <c r="E40" i="29"/>
  <c r="F46" i="29"/>
  <c r="G46" i="29"/>
  <c r="A60" i="29"/>
  <c r="B69" i="29"/>
  <c r="H69" i="29"/>
  <c r="B70" i="29"/>
  <c r="H70" i="29"/>
  <c r="B71" i="29"/>
  <c r="H71" i="29"/>
  <c r="B72" i="29"/>
  <c r="H72" i="29"/>
  <c r="B73" i="29"/>
  <c r="H73" i="29"/>
  <c r="B77" i="29"/>
  <c r="B78" i="29"/>
  <c r="C78" i="29"/>
  <c r="D78" i="29"/>
  <c r="E78" i="29"/>
  <c r="F78" i="29"/>
  <c r="B84" i="29"/>
  <c r="B85" i="29"/>
  <c r="C85" i="29"/>
  <c r="D85" i="29"/>
  <c r="E85" i="29"/>
  <c r="F91" i="29"/>
  <c r="G91" i="29"/>
  <c r="B5" i="27"/>
  <c r="C5" i="27"/>
  <c r="B6" i="27"/>
  <c r="B7" i="27"/>
  <c r="B8" i="27"/>
  <c r="B9" i="27"/>
  <c r="B10" i="27"/>
  <c r="B17" i="27"/>
  <c r="B22" i="27"/>
  <c r="B23" i="27"/>
  <c r="B24" i="27"/>
  <c r="B25" i="27"/>
  <c r="I58" i="23"/>
  <c r="E1" i="5"/>
  <c r="A14" i="31"/>
  <c r="A16" i="31"/>
  <c r="A18" i="31"/>
  <c r="K2" i="31"/>
  <c r="M2" i="31"/>
  <c r="C20" i="31"/>
  <c r="C21" i="31"/>
  <c r="K3" i="31"/>
  <c r="M3" i="31"/>
  <c r="K4" i="31"/>
  <c r="M4" i="31"/>
  <c r="K5" i="31"/>
  <c r="M5" i="31"/>
  <c r="B11" i="31"/>
  <c r="R11" i="31"/>
  <c r="C11" i="31"/>
  <c r="W11" i="31"/>
  <c r="F11" i="31"/>
  <c r="G11" i="31"/>
  <c r="B12" i="31"/>
  <c r="F12" i="31"/>
  <c r="B13" i="31"/>
  <c r="C12" i="31"/>
  <c r="C13" i="31"/>
  <c r="N11" i="31"/>
  <c r="Q11" i="31"/>
  <c r="S11" i="31"/>
  <c r="G12" i="31"/>
  <c r="Q12" i="31"/>
  <c r="R12" i="31"/>
  <c r="V12" i="31"/>
  <c r="A13" i="31"/>
  <c r="Q13" i="31"/>
  <c r="E13" i="31"/>
  <c r="F13" i="31"/>
  <c r="F14" i="31"/>
  <c r="I13" i="31"/>
  <c r="K13" i="31"/>
  <c r="M13" i="31"/>
  <c r="N13" i="31"/>
  <c r="S13" i="31"/>
  <c r="U13" i="31"/>
  <c r="U14" i="31"/>
  <c r="B14" i="31"/>
  <c r="R14" i="31"/>
  <c r="C14" i="31"/>
  <c r="W14" i="31"/>
  <c r="E14" i="31"/>
  <c r="E16" i="31"/>
  <c r="I14" i="31"/>
  <c r="J14" i="31"/>
  <c r="M14" i="31"/>
  <c r="O14" i="31"/>
  <c r="Q14" i="31"/>
  <c r="A15" i="31"/>
  <c r="B15" i="31"/>
  <c r="V15" i="31"/>
  <c r="C15" i="31"/>
  <c r="S15" i="31"/>
  <c r="F15" i="31"/>
  <c r="F16" i="31"/>
  <c r="G15" i="31"/>
  <c r="I15" i="31"/>
  <c r="J15" i="31"/>
  <c r="O15" i="31"/>
  <c r="Q15" i="31"/>
  <c r="R15" i="31"/>
  <c r="U15" i="31"/>
  <c r="U16" i="31"/>
  <c r="B16" i="31"/>
  <c r="C16" i="31"/>
  <c r="W16" i="31"/>
  <c r="G16" i="31"/>
  <c r="I16" i="31"/>
  <c r="I18" i="31"/>
  <c r="J16" i="31"/>
  <c r="K16" i="31"/>
  <c r="N16" i="31"/>
  <c r="Q16" i="31"/>
  <c r="R16" i="31"/>
  <c r="V16" i="31"/>
  <c r="A17" i="31"/>
  <c r="B17" i="31"/>
  <c r="V17" i="31"/>
  <c r="C17" i="31"/>
  <c r="G17" i="31"/>
  <c r="G18" i="31"/>
  <c r="I17" i="31"/>
  <c r="J17" i="31"/>
  <c r="N17" i="31"/>
  <c r="O17" i="31"/>
  <c r="Q17" i="31"/>
  <c r="U17" i="31"/>
  <c r="U18" i="31"/>
  <c r="B18" i="31"/>
  <c r="V18" i="31"/>
  <c r="C18" i="31"/>
  <c r="S18" i="31"/>
  <c r="J18" i="31"/>
  <c r="N18" i="31"/>
  <c r="Q18" i="31"/>
  <c r="B19" i="31"/>
  <c r="N73" i="31"/>
  <c r="C19" i="31"/>
  <c r="G28" i="31"/>
  <c r="F19" i="31"/>
  <c r="J19" i="31"/>
  <c r="K19" i="31"/>
  <c r="N19" i="31"/>
  <c r="U19" i="31"/>
  <c r="U20" i="31"/>
  <c r="B20" i="31"/>
  <c r="B21" i="31"/>
  <c r="F20" i="31"/>
  <c r="J20" i="31"/>
  <c r="N20" i="31"/>
  <c r="S20" i="31"/>
  <c r="W20" i="31"/>
  <c r="G21" i="31"/>
  <c r="G22" i="31"/>
  <c r="J21" i="31"/>
  <c r="J22" i="31"/>
  <c r="N22" i="31"/>
  <c r="G23" i="31"/>
  <c r="J23" i="31"/>
  <c r="J24" i="31"/>
  <c r="N24" i="31"/>
  <c r="G25" i="31"/>
  <c r="G26" i="31"/>
  <c r="K25" i="31"/>
  <c r="N25" i="31"/>
  <c r="J26" i="31"/>
  <c r="K26" i="31"/>
  <c r="N26" i="31"/>
  <c r="G27" i="31"/>
  <c r="J27" i="31"/>
  <c r="N27" i="31"/>
  <c r="J28" i="31"/>
  <c r="K28" i="31"/>
  <c r="N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J29" i="31"/>
  <c r="N29" i="31"/>
  <c r="K30" i="31"/>
  <c r="N30" i="31"/>
  <c r="K31" i="31"/>
  <c r="N31" i="31"/>
  <c r="N32" i="31"/>
  <c r="O32" i="31"/>
  <c r="N33" i="31"/>
  <c r="O33" i="31"/>
  <c r="K34" i="31"/>
  <c r="N34" i="31"/>
  <c r="K35" i="31"/>
  <c r="N35" i="31"/>
  <c r="N36" i="31"/>
  <c r="O36" i="31"/>
  <c r="N37" i="31"/>
  <c r="O37" i="31"/>
  <c r="K38" i="31"/>
  <c r="N38" i="31"/>
  <c r="K39" i="31"/>
  <c r="N39" i="31"/>
  <c r="N40" i="31"/>
  <c r="O40" i="31"/>
  <c r="K41" i="31"/>
  <c r="N41" i="31"/>
  <c r="O41" i="31"/>
  <c r="K42" i="31"/>
  <c r="N42" i="31"/>
  <c r="K43" i="31"/>
  <c r="N43" i="31"/>
  <c r="K44" i="31"/>
  <c r="N44" i="31"/>
  <c r="O44" i="31"/>
  <c r="K45" i="31"/>
  <c r="N45" i="31"/>
  <c r="O45" i="31"/>
  <c r="K46" i="31"/>
  <c r="N46" i="31"/>
  <c r="K47" i="31"/>
  <c r="N47" i="31"/>
  <c r="K48" i="31"/>
  <c r="N48" i="31"/>
  <c r="O48" i="31"/>
  <c r="K49" i="31"/>
  <c r="N49" i="31"/>
  <c r="O49" i="31"/>
  <c r="K50" i="31"/>
  <c r="N50" i="31"/>
  <c r="K51" i="31"/>
  <c r="N51" i="31"/>
  <c r="K52" i="31"/>
  <c r="N52" i="31"/>
  <c r="O52" i="31"/>
  <c r="K53" i="31"/>
  <c r="N53" i="31"/>
  <c r="O53" i="31"/>
  <c r="K54" i="31"/>
  <c r="N54" i="31"/>
  <c r="K55" i="31"/>
  <c r="N55" i="31"/>
  <c r="K56" i="31"/>
  <c r="N56" i="31"/>
  <c r="O56" i="31"/>
  <c r="K57" i="31"/>
  <c r="N57" i="31"/>
  <c r="O57" i="31"/>
  <c r="K58" i="31"/>
  <c r="N58" i="31"/>
  <c r="K59" i="31"/>
  <c r="N59" i="31"/>
  <c r="K60" i="31"/>
  <c r="K61" i="31"/>
  <c r="K62" i="31"/>
  <c r="K63" i="31"/>
  <c r="K64" i="31"/>
  <c r="K65"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K94" i="31"/>
  <c r="K95" i="31"/>
  <c r="K96" i="31"/>
  <c r="K97" i="31"/>
  <c r="K98" i="31"/>
  <c r="K99" i="31"/>
  <c r="K100" i="31"/>
  <c r="K101" i="31"/>
  <c r="K102" i="31"/>
  <c r="K103" i="31"/>
  <c r="K104" i="31"/>
  <c r="K105" i="31"/>
  <c r="K106" i="31"/>
  <c r="K107" i="31"/>
  <c r="K108" i="31"/>
  <c r="K109" i="31"/>
  <c r="K110" i="31"/>
  <c r="N60" i="31"/>
  <c r="O60" i="31"/>
  <c r="N61" i="31"/>
  <c r="O61" i="31"/>
  <c r="N62" i="31"/>
  <c r="N63" i="31"/>
  <c r="O63" i="31"/>
  <c r="N64" i="31"/>
  <c r="N65" i="31"/>
  <c r="O65" i="31"/>
  <c r="N66" i="31"/>
  <c r="N67" i="31"/>
  <c r="O67" i="31"/>
  <c r="N68" i="31"/>
  <c r="N69" i="31"/>
  <c r="O69" i="31"/>
  <c r="N70" i="31"/>
  <c r="N71" i="31"/>
  <c r="O71" i="31"/>
  <c r="N72" i="31"/>
  <c r="O72" i="31"/>
  <c r="O73" i="31"/>
  <c r="N74" i="31"/>
  <c r="O74" i="31"/>
  <c r="O75" i="31"/>
  <c r="N76" i="31"/>
  <c r="O76" i="31"/>
  <c r="O77" i="31"/>
  <c r="N78" i="31"/>
  <c r="O78" i="31"/>
  <c r="O79" i="31"/>
  <c r="N80" i="31"/>
  <c r="O80" i="31"/>
  <c r="O81" i="31"/>
  <c r="N82" i="31"/>
  <c r="O82" i="31"/>
  <c r="O83" i="31"/>
  <c r="N84" i="31"/>
  <c r="O84" i="31"/>
  <c r="O85" i="31"/>
  <c r="N86" i="31"/>
  <c r="O86" i="31"/>
  <c r="O87" i="31"/>
  <c r="N88" i="31"/>
  <c r="O88" i="31"/>
  <c r="O89" i="31"/>
  <c r="N90" i="31"/>
  <c r="O90" i="31"/>
  <c r="O91" i="31"/>
  <c r="N92" i="31"/>
  <c r="O92" i="31"/>
  <c r="N93" i="31"/>
  <c r="O93" i="31"/>
  <c r="N94" i="31"/>
  <c r="O94" i="31"/>
  <c r="N95" i="31"/>
  <c r="O95" i="31"/>
  <c r="N96" i="31"/>
  <c r="O96" i="31"/>
  <c r="N97" i="31"/>
  <c r="O97" i="31"/>
  <c r="O98" i="31"/>
  <c r="N99" i="31"/>
  <c r="O99" i="31"/>
  <c r="O100" i="31"/>
  <c r="N101" i="31"/>
  <c r="O101" i="31"/>
  <c r="O102" i="31"/>
  <c r="N103" i="31"/>
  <c r="O103" i="31"/>
  <c r="O104" i="31"/>
  <c r="N105" i="31"/>
  <c r="O105" i="31"/>
  <c r="O106" i="31"/>
  <c r="N107" i="31"/>
  <c r="O107" i="31"/>
  <c r="O108" i="31"/>
  <c r="N109" i="31"/>
  <c r="O109" i="31"/>
  <c r="O110" i="31"/>
  <c r="B79" i="38"/>
  <c r="B40" i="37"/>
  <c r="B83" i="38"/>
  <c r="B42" i="37"/>
  <c r="B87" i="38"/>
  <c r="B44" i="37"/>
  <c r="F90" i="27"/>
  <c r="H90" i="39"/>
  <c r="B80" i="37"/>
  <c r="C84" i="27"/>
  <c r="B87" i="27"/>
  <c r="F85" i="39"/>
  <c r="C80" i="27"/>
  <c r="B84" i="27"/>
  <c r="F81" i="39"/>
  <c r="B76" i="37"/>
  <c r="F76" i="27"/>
  <c r="J77" i="39"/>
  <c r="B74" i="37"/>
  <c r="F51" i="27"/>
  <c r="B72" i="27"/>
  <c r="I51" i="39"/>
  <c r="B70" i="37"/>
  <c r="E15" i="35"/>
  <c r="B137" i="37"/>
  <c r="E16" i="35"/>
  <c r="C16" i="35"/>
  <c r="D16" i="34"/>
  <c r="B138" i="37"/>
  <c r="E14" i="35"/>
  <c r="C14" i="35"/>
  <c r="D14" i="34"/>
  <c r="B136" i="37"/>
  <c r="E13" i="35"/>
  <c r="B135" i="37"/>
  <c r="E17" i="35"/>
  <c r="C17" i="35"/>
  <c r="D17" i="34"/>
  <c r="B139" i="37"/>
  <c r="C84" i="25"/>
  <c r="B87" i="25"/>
  <c r="F90" i="25"/>
  <c r="C80" i="25"/>
  <c r="F76" i="25"/>
  <c r="L60" i="38"/>
  <c r="H60" i="25"/>
  <c r="I51" i="38"/>
  <c r="B38" i="37"/>
  <c r="F51" i="25"/>
  <c r="L6" i="32"/>
  <c r="L4" i="33"/>
  <c r="D65" i="36"/>
  <c r="I73" i="24"/>
  <c r="H61" i="27"/>
  <c r="R18" i="31"/>
  <c r="W15" i="31"/>
  <c r="J11" i="31"/>
  <c r="W18" i="31"/>
  <c r="S16" i="31"/>
  <c r="E15" i="31"/>
  <c r="B18" i="35"/>
  <c r="I74" i="24"/>
  <c r="V20" i="31"/>
  <c r="S19" i="31"/>
  <c r="D51" i="36"/>
  <c r="D53" i="36"/>
  <c r="C86" i="37"/>
  <c r="D63" i="36"/>
  <c r="C100" i="37"/>
  <c r="C84" i="33"/>
  <c r="C46" i="32"/>
  <c r="C49" i="32"/>
  <c r="C49" i="33"/>
  <c r="B22" i="31"/>
  <c r="R22" i="31"/>
  <c r="R21" i="31"/>
  <c r="W17" i="31"/>
  <c r="G24" i="31"/>
  <c r="W12" i="31"/>
  <c r="O16" i="31"/>
  <c r="K17" i="31"/>
  <c r="K18" i="31"/>
  <c r="O19" i="31"/>
  <c r="O20" i="31"/>
  <c r="O24" i="31"/>
  <c r="O26" i="31"/>
  <c r="O28" i="31"/>
  <c r="N110" i="31"/>
  <c r="N106" i="31"/>
  <c r="N102" i="31"/>
  <c r="N91" i="31"/>
  <c r="N89" i="31"/>
  <c r="N87" i="31"/>
  <c r="N85" i="31"/>
  <c r="N83" i="31"/>
  <c r="N81" i="31"/>
  <c r="N79" i="31"/>
  <c r="N77" i="31"/>
  <c r="N75" i="31"/>
  <c r="O58" i="31"/>
  <c r="O54" i="31"/>
  <c r="O50" i="31"/>
  <c r="O46" i="31"/>
  <c r="O42" i="31"/>
  <c r="K40" i="31"/>
  <c r="O38" i="31"/>
  <c r="K36" i="31"/>
  <c r="O34" i="31"/>
  <c r="K32" i="31"/>
  <c r="O30" i="31"/>
  <c r="O29"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F68" i="31"/>
  <c r="F69" i="31"/>
  <c r="F70" i="31"/>
  <c r="F71" i="31"/>
  <c r="F72" i="31"/>
  <c r="F73"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K24" i="31"/>
  <c r="O23" i="31"/>
  <c r="O21" i="31"/>
  <c r="K20" i="31"/>
  <c r="W19" i="31"/>
  <c r="O18" i="31"/>
  <c r="S17" i="31"/>
  <c r="R17" i="31"/>
  <c r="F21" i="31"/>
  <c r="F22" i="31"/>
  <c r="F23" i="31"/>
  <c r="F24" i="31"/>
  <c r="J31" i="31"/>
  <c r="J32" i="31"/>
  <c r="J33" i="31"/>
  <c r="J34" i="31"/>
  <c r="J35" i="31"/>
  <c r="J36" i="31"/>
  <c r="J37" i="31"/>
  <c r="J38" i="31"/>
  <c r="J39" i="31"/>
  <c r="J40" i="31"/>
  <c r="N15" i="31"/>
  <c r="K14" i="31"/>
  <c r="S14" i="31"/>
  <c r="K22" i="31"/>
  <c r="K27" i="31"/>
  <c r="K29" i="31"/>
  <c r="R13" i="31"/>
  <c r="O12" i="31"/>
  <c r="C65" i="33"/>
  <c r="C61" i="32"/>
  <c r="C72" i="32"/>
  <c r="C72" i="33"/>
  <c r="B128" i="37"/>
  <c r="C54" i="33"/>
  <c r="V19" i="31"/>
  <c r="J41" i="31"/>
  <c r="J42" i="31"/>
  <c r="J43" i="31"/>
  <c r="J44" i="31"/>
  <c r="J45" i="31"/>
  <c r="J46" i="31"/>
  <c r="J47" i="31"/>
  <c r="J48" i="31"/>
  <c r="J49" i="31"/>
  <c r="J50" i="31"/>
  <c r="S89" i="28"/>
  <c r="S90" i="28"/>
  <c r="J51" i="31"/>
  <c r="J52" i="31"/>
  <c r="J53" i="31"/>
  <c r="J54" i="31"/>
  <c r="J55" i="31"/>
  <c r="J56" i="31"/>
  <c r="J57" i="31"/>
  <c r="J58" i="31"/>
  <c r="J59" i="31"/>
  <c r="J60" i="31"/>
  <c r="J61" i="31"/>
  <c r="J62" i="31"/>
  <c r="J63" i="31"/>
  <c r="J64" i="31"/>
  <c r="J65" i="31"/>
  <c r="J66" i="31"/>
  <c r="J67" i="31"/>
  <c r="J68" i="31"/>
  <c r="J69" i="31"/>
  <c r="J70" i="31"/>
  <c r="J71" i="31"/>
  <c r="J72" i="31"/>
  <c r="J73"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R19" i="31"/>
  <c r="G19" i="31"/>
  <c r="G20" i="31"/>
  <c r="M16" i="31"/>
  <c r="M15" i="31"/>
  <c r="N108" i="31"/>
  <c r="N104" i="31"/>
  <c r="N100" i="31"/>
  <c r="N98" i="31"/>
  <c r="O70" i="31"/>
  <c r="O68" i="31"/>
  <c r="O66" i="31"/>
  <c r="O64" i="31"/>
  <c r="O62" i="31"/>
  <c r="O59" i="31"/>
  <c r="O55" i="31"/>
  <c r="O51" i="31"/>
  <c r="O47" i="31"/>
  <c r="O43" i="31"/>
  <c r="O39" i="31"/>
  <c r="K37" i="31"/>
  <c r="O35" i="31"/>
  <c r="K33" i="31"/>
  <c r="O31" i="31"/>
  <c r="O27" i="31"/>
  <c r="F27" i="31"/>
  <c r="F28" i="31"/>
  <c r="O25" i="31"/>
  <c r="F25" i="31"/>
  <c r="F26" i="31"/>
  <c r="K23" i="31"/>
  <c r="O22" i="31"/>
  <c r="K21" i="31"/>
  <c r="R20" i="31"/>
  <c r="K15" i="31"/>
  <c r="V14" i="31"/>
  <c r="F17" i="31"/>
  <c r="F18" i="31"/>
  <c r="J25" i="31"/>
  <c r="J30" i="31"/>
  <c r="S12" i="31"/>
  <c r="K12" i="31"/>
  <c r="V13" i="31"/>
  <c r="N14" i="31"/>
  <c r="N21" i="31"/>
  <c r="N23" i="31"/>
  <c r="C22" i="31"/>
  <c r="S21" i="31"/>
  <c r="A20" i="31"/>
  <c r="A19" i="31"/>
  <c r="Q19" i="31"/>
  <c r="K11" i="31"/>
  <c r="C18" i="3"/>
  <c r="D18" i="3"/>
  <c r="E18" i="3"/>
  <c r="C26" i="3"/>
  <c r="C10" i="3"/>
  <c r="D26" i="3"/>
  <c r="D10" i="3"/>
  <c r="E26" i="3"/>
  <c r="E10" i="3"/>
  <c r="K90" i="32"/>
  <c r="I74" i="23"/>
  <c r="I73" i="23"/>
  <c r="D66" i="36"/>
  <c r="D64" i="36"/>
  <c r="D62" i="36"/>
  <c r="D54" i="36"/>
  <c r="D52" i="36"/>
  <c r="D50" i="36"/>
  <c r="E22" i="3"/>
  <c r="E14" i="3"/>
  <c r="E6" i="3"/>
  <c r="E28" i="3"/>
  <c r="E24" i="3"/>
  <c r="E20" i="3"/>
  <c r="E16" i="3"/>
  <c r="E12" i="3"/>
  <c r="E8" i="3"/>
  <c r="E4" i="3"/>
  <c r="D22" i="3"/>
  <c r="D14" i="3"/>
  <c r="C22" i="3"/>
  <c r="C14" i="3"/>
  <c r="M17" i="31"/>
  <c r="M18" i="31"/>
  <c r="E17" i="31"/>
  <c r="E18" i="31"/>
  <c r="C23" i="31"/>
  <c r="S22" i="31"/>
  <c r="I19" i="31"/>
  <c r="I20" i="31"/>
  <c r="B23" i="31"/>
  <c r="W13" i="31"/>
  <c r="O13" i="31"/>
  <c r="J13" i="31"/>
  <c r="G13" i="31"/>
  <c r="G14" i="31"/>
  <c r="N12" i="31"/>
  <c r="J12" i="31"/>
  <c r="V11" i="31"/>
  <c r="O11" i="31"/>
  <c r="C15" i="35"/>
  <c r="D15" i="34"/>
  <c r="C3" i="3"/>
  <c r="C5" i="3"/>
  <c r="C7" i="3"/>
  <c r="C9" i="3"/>
  <c r="C11" i="3"/>
  <c r="C13" i="3"/>
  <c r="C15" i="3"/>
  <c r="C17" i="3"/>
  <c r="C19" i="3"/>
  <c r="C21" i="3"/>
  <c r="C23" i="3"/>
  <c r="C25" i="3"/>
  <c r="C27" i="3"/>
  <c r="D3" i="3"/>
  <c r="D5" i="3"/>
  <c r="D7" i="3"/>
  <c r="D9" i="3"/>
  <c r="D11" i="3"/>
  <c r="D13" i="3"/>
  <c r="D15" i="3"/>
  <c r="D17" i="3"/>
  <c r="D19" i="3"/>
  <c r="D21" i="3"/>
  <c r="D23" i="3"/>
  <c r="D25" i="3"/>
  <c r="D27" i="3"/>
  <c r="D17" i="35"/>
  <c r="E17" i="34"/>
  <c r="C28" i="3"/>
  <c r="C24" i="3"/>
  <c r="C20" i="3"/>
  <c r="C16" i="3"/>
  <c r="C12" i="3"/>
  <c r="C8" i="3"/>
  <c r="C4" i="3"/>
  <c r="D28" i="3"/>
  <c r="D24" i="3"/>
  <c r="D20" i="3"/>
  <c r="D16" i="3"/>
  <c r="D12" i="3"/>
  <c r="D8" i="3"/>
  <c r="D4" i="3"/>
  <c r="E27" i="3"/>
  <c r="E25" i="3"/>
  <c r="E23" i="3"/>
  <c r="E21" i="3"/>
  <c r="E19" i="3"/>
  <c r="E17" i="3"/>
  <c r="E15" i="3"/>
  <c r="E13" i="3"/>
  <c r="E11" i="3"/>
  <c r="E9" i="3"/>
  <c r="E7" i="3"/>
  <c r="E5" i="3"/>
  <c r="B87" i="39"/>
  <c r="B78" i="37"/>
  <c r="B72" i="39"/>
  <c r="D76" i="39"/>
  <c r="H75" i="39"/>
  <c r="B75" i="39"/>
  <c r="F75" i="39"/>
  <c r="B76" i="39"/>
  <c r="B53" i="39"/>
  <c r="C76" i="27"/>
  <c r="B76" i="27"/>
  <c r="D75" i="27"/>
  <c r="B53" i="27"/>
  <c r="F75" i="27"/>
  <c r="B75" i="27"/>
  <c r="B80" i="39"/>
  <c r="B79" i="39"/>
  <c r="H79" i="39"/>
  <c r="F79" i="39"/>
  <c r="B80" i="27"/>
  <c r="D79" i="27"/>
  <c r="F79" i="27"/>
  <c r="B79" i="27"/>
  <c r="B72" i="37"/>
  <c r="B84" i="39"/>
  <c r="F83" i="39"/>
  <c r="B83" i="39"/>
  <c r="H83" i="39"/>
  <c r="D83" i="27"/>
  <c r="F83" i="27"/>
  <c r="B83" i="27"/>
  <c r="B73" i="27"/>
  <c r="B72" i="25"/>
  <c r="B53" i="25"/>
  <c r="B53" i="38"/>
  <c r="B72" i="38"/>
  <c r="B80" i="25"/>
  <c r="B79" i="25"/>
  <c r="B80" i="38"/>
  <c r="B84" i="25"/>
  <c r="B83" i="25"/>
  <c r="B84" i="38"/>
  <c r="D89" i="36"/>
  <c r="C50" i="32"/>
  <c r="C50" i="33"/>
  <c r="B19" i="35"/>
  <c r="B18" i="34"/>
  <c r="C18" i="34"/>
  <c r="C46" i="33"/>
  <c r="B122" i="37"/>
  <c r="C47" i="32"/>
  <c r="C47" i="33"/>
  <c r="C53" i="32"/>
  <c r="C53" i="33"/>
  <c r="B124" i="37"/>
  <c r="C74" i="32"/>
  <c r="C74" i="33"/>
  <c r="A21" i="31"/>
  <c r="Q20" i="31"/>
  <c r="C61" i="33"/>
  <c r="B126" i="37"/>
  <c r="E29" i="3"/>
  <c r="A54" i="35"/>
  <c r="C94" i="33"/>
  <c r="R23" i="31"/>
  <c r="B24" i="31"/>
  <c r="C24" i="31"/>
  <c r="S23" i="31"/>
  <c r="C29" i="3"/>
  <c r="I21" i="31"/>
  <c r="I22" i="31"/>
  <c r="E19" i="31"/>
  <c r="E20" i="31"/>
  <c r="M19" i="31"/>
  <c r="M20" i="31"/>
  <c r="D29" i="3"/>
  <c r="G17" i="35"/>
  <c r="F17" i="34"/>
  <c r="E18" i="35"/>
  <c r="B140" i="37"/>
  <c r="B76" i="38"/>
  <c r="B75" i="38"/>
  <c r="B76" i="25"/>
  <c r="B75" i="25"/>
  <c r="E90" i="36"/>
  <c r="B19" i="34"/>
  <c r="C19" i="34"/>
  <c r="B20" i="35"/>
  <c r="E89" i="36"/>
  <c r="C139" i="37"/>
  <c r="A22" i="31"/>
  <c r="Q21" i="31"/>
  <c r="J12" i="35"/>
  <c r="K8" i="28"/>
  <c r="K7" i="24"/>
  <c r="D22" i="2"/>
  <c r="K7" i="23"/>
  <c r="C25" i="31"/>
  <c r="S24" i="31"/>
  <c r="M22" i="31"/>
  <c r="M21" i="31"/>
  <c r="E22" i="31"/>
  <c r="E21" i="31"/>
  <c r="I23" i="31"/>
  <c r="I24" i="31"/>
  <c r="R24" i="31"/>
  <c r="B25" i="31"/>
  <c r="C18" i="35"/>
  <c r="D18" i="35"/>
  <c r="E18" i="34"/>
  <c r="D90" i="36"/>
  <c r="E19" i="35"/>
  <c r="B141" i="37"/>
  <c r="G70" i="28"/>
  <c r="K70" i="28"/>
  <c r="J70" i="29"/>
  <c r="B106" i="37"/>
  <c r="G73" i="28"/>
  <c r="K73" i="28"/>
  <c r="G69" i="28"/>
  <c r="K69" i="28"/>
  <c r="J69" i="29"/>
  <c r="B105" i="37"/>
  <c r="G72" i="28"/>
  <c r="K72" i="28"/>
  <c r="G71" i="28"/>
  <c r="K71" i="28"/>
  <c r="G28" i="28"/>
  <c r="K28" i="28"/>
  <c r="G26" i="28"/>
  <c r="K26" i="28"/>
  <c r="J26" i="29"/>
  <c r="B91" i="37"/>
  <c r="G25" i="28"/>
  <c r="K25" i="28"/>
  <c r="J25" i="29"/>
  <c r="B90" i="37"/>
  <c r="G24" i="28"/>
  <c r="K24" i="28"/>
  <c r="J24" i="29"/>
  <c r="B89" i="37"/>
  <c r="B20" i="34"/>
  <c r="C20" i="34"/>
  <c r="B21" i="35"/>
  <c r="A23" i="31"/>
  <c r="Q22" i="31"/>
  <c r="M24" i="31"/>
  <c r="M23" i="31"/>
  <c r="C26" i="31"/>
  <c r="S25" i="31"/>
  <c r="C7" i="28"/>
  <c r="C9" i="28"/>
  <c r="C9" i="29"/>
  <c r="C11" i="28"/>
  <c r="C11" i="29"/>
  <c r="D7" i="28"/>
  <c r="F7" i="28"/>
  <c r="F7" i="29"/>
  <c r="D8" i="28"/>
  <c r="F8" i="28"/>
  <c r="F8" i="29"/>
  <c r="D9" i="28"/>
  <c r="F9" i="28"/>
  <c r="F9" i="29"/>
  <c r="D10" i="28"/>
  <c r="F10" i="28"/>
  <c r="F10" i="29"/>
  <c r="D11" i="28"/>
  <c r="F11" i="28"/>
  <c r="F11" i="29"/>
  <c r="E24" i="28"/>
  <c r="D24" i="29"/>
  <c r="B83" i="37"/>
  <c r="E26" i="28"/>
  <c r="D26" i="28"/>
  <c r="D26" i="29"/>
  <c r="B85" i="37"/>
  <c r="C10" i="28"/>
  <c r="C10" i="29"/>
  <c r="E27" i="28"/>
  <c r="D27" i="28"/>
  <c r="D27" i="29"/>
  <c r="B86" i="37"/>
  <c r="E28" i="28"/>
  <c r="D28" i="28"/>
  <c r="D28" i="29"/>
  <c r="B87" i="37"/>
  <c r="E70" i="28"/>
  <c r="D70" i="28"/>
  <c r="D70" i="29"/>
  <c r="B100" i="37"/>
  <c r="E72" i="28"/>
  <c r="D72" i="28"/>
  <c r="D72" i="29"/>
  <c r="B102" i="37"/>
  <c r="C8" i="28"/>
  <c r="C8" i="29"/>
  <c r="E25" i="28"/>
  <c r="D25" i="28"/>
  <c r="D25" i="29"/>
  <c r="B84" i="37"/>
  <c r="E69" i="28"/>
  <c r="D69" i="28"/>
  <c r="D69" i="29"/>
  <c r="B99" i="37"/>
  <c r="E71" i="28"/>
  <c r="D71" i="28"/>
  <c r="D71" i="29"/>
  <c r="B101" i="37"/>
  <c r="E73" i="28"/>
  <c r="D73" i="28"/>
  <c r="D73" i="29"/>
  <c r="B103" i="37"/>
  <c r="E24" i="31"/>
  <c r="E23" i="31"/>
  <c r="R25" i="31"/>
  <c r="B26" i="31"/>
  <c r="I25" i="31"/>
  <c r="I26" i="31"/>
  <c r="C8" i="23"/>
  <c r="C7" i="23"/>
  <c r="C10" i="23"/>
  <c r="C6" i="23"/>
  <c r="C9" i="23"/>
  <c r="D6" i="23"/>
  <c r="F6" i="23"/>
  <c r="D7" i="23"/>
  <c r="F7" i="23"/>
  <c r="D8" i="23"/>
  <c r="F8" i="23"/>
  <c r="D9" i="23"/>
  <c r="F9" i="23"/>
  <c r="D10" i="23"/>
  <c r="F10" i="23"/>
  <c r="D6" i="24"/>
  <c r="D8" i="24"/>
  <c r="F8" i="24"/>
  <c r="C8" i="24"/>
  <c r="D8" i="39"/>
  <c r="D10" i="24"/>
  <c r="F10" i="24"/>
  <c r="C10" i="24"/>
  <c r="D10" i="39"/>
  <c r="D7" i="24"/>
  <c r="F7" i="24"/>
  <c r="C7" i="24"/>
  <c r="D7" i="39"/>
  <c r="D9" i="24"/>
  <c r="F9" i="24"/>
  <c r="C9" i="24"/>
  <c r="D9" i="39"/>
  <c r="J13" i="35"/>
  <c r="I13" i="35"/>
  <c r="C19" i="35"/>
  <c r="D19" i="35"/>
  <c r="E19" i="34"/>
  <c r="D91" i="36"/>
  <c r="D18" i="34"/>
  <c r="G18" i="35"/>
  <c r="E20" i="35"/>
  <c r="B142" i="37"/>
  <c r="C6" i="25"/>
  <c r="D6" i="38"/>
  <c r="D10" i="38"/>
  <c r="D7" i="38"/>
  <c r="D9" i="38"/>
  <c r="D8" i="38"/>
  <c r="B21" i="34"/>
  <c r="C21" i="34"/>
  <c r="B22" i="35"/>
  <c r="E91" i="36"/>
  <c r="C37" i="28"/>
  <c r="C37" i="29"/>
  <c r="C79" i="28"/>
  <c r="C79" i="29"/>
  <c r="C88" i="28"/>
  <c r="E88" i="28"/>
  <c r="E88" i="29"/>
  <c r="A24" i="31"/>
  <c r="Q23" i="31"/>
  <c r="B34" i="28"/>
  <c r="B34" i="29"/>
  <c r="B79" i="28"/>
  <c r="B35" i="28"/>
  <c r="B35" i="29"/>
  <c r="C41" i="28"/>
  <c r="C41" i="29"/>
  <c r="C34" i="28"/>
  <c r="D34" i="28"/>
  <c r="C35" i="28"/>
  <c r="D35" i="28"/>
  <c r="C87" i="28"/>
  <c r="E87" i="28"/>
  <c r="E87" i="29"/>
  <c r="B36" i="28"/>
  <c r="B36" i="29"/>
  <c r="C36" i="28"/>
  <c r="E36" i="28"/>
  <c r="D14" i="35"/>
  <c r="E14" i="34"/>
  <c r="D16" i="35"/>
  <c r="E16" i="34"/>
  <c r="D15" i="35"/>
  <c r="E15" i="34"/>
  <c r="C80" i="28"/>
  <c r="D80" i="28"/>
  <c r="D80" i="29"/>
  <c r="C86" i="28"/>
  <c r="E86" i="28"/>
  <c r="E86" i="29"/>
  <c r="B37" i="28"/>
  <c r="B37" i="29"/>
  <c r="B80" i="28"/>
  <c r="B80" i="29"/>
  <c r="C8" i="27"/>
  <c r="C9" i="27"/>
  <c r="C10" i="27"/>
  <c r="I2" i="24"/>
  <c r="I61" i="24"/>
  <c r="I1" i="24"/>
  <c r="I3" i="24"/>
  <c r="I69" i="24"/>
  <c r="F6" i="24"/>
  <c r="C6" i="24"/>
  <c r="C9" i="25"/>
  <c r="C10" i="25"/>
  <c r="C8" i="25"/>
  <c r="E26" i="31"/>
  <c r="E25" i="31"/>
  <c r="J73" i="29"/>
  <c r="B109" i="37"/>
  <c r="B88" i="28"/>
  <c r="J71" i="29"/>
  <c r="B107" i="37"/>
  <c r="B86" i="28"/>
  <c r="I2" i="28"/>
  <c r="I3" i="28"/>
  <c r="C7" i="29"/>
  <c r="I1" i="28"/>
  <c r="C27" i="31"/>
  <c r="S26" i="31"/>
  <c r="M26" i="31"/>
  <c r="M25" i="31"/>
  <c r="C7" i="27"/>
  <c r="I2" i="23"/>
  <c r="I61" i="23"/>
  <c r="I3" i="23"/>
  <c r="I69" i="23"/>
  <c r="I1" i="23"/>
  <c r="C7" i="25"/>
  <c r="I27" i="31"/>
  <c r="I28" i="31"/>
  <c r="R26" i="31"/>
  <c r="B27" i="31"/>
  <c r="J72" i="29"/>
  <c r="B108" i="37"/>
  <c r="B87" i="28"/>
  <c r="B41" i="28"/>
  <c r="J28" i="29"/>
  <c r="B93" i="37"/>
  <c r="C6" i="27"/>
  <c r="D6" i="39"/>
  <c r="C20" i="35"/>
  <c r="D20" i="35"/>
  <c r="E20" i="34"/>
  <c r="D92" i="36"/>
  <c r="D19" i="34"/>
  <c r="G19" i="35"/>
  <c r="C140" i="37"/>
  <c r="F18" i="34"/>
  <c r="E21" i="35"/>
  <c r="B143" i="37"/>
  <c r="L46" i="28"/>
  <c r="E92" i="36"/>
  <c r="D88" i="36"/>
  <c r="D86" i="36"/>
  <c r="D87" i="36"/>
  <c r="E41" i="28"/>
  <c r="E41" i="29"/>
  <c r="E37" i="28"/>
  <c r="Q83" i="28"/>
  <c r="Q84" i="28"/>
  <c r="D37" i="28"/>
  <c r="S77" i="28"/>
  <c r="I93" i="28"/>
  <c r="B22" i="34"/>
  <c r="C22" i="34"/>
  <c r="C88" i="29"/>
  <c r="E35" i="28"/>
  <c r="Q79" i="28"/>
  <c r="Q80" i="28"/>
  <c r="I95" i="28"/>
  <c r="E79" i="28"/>
  <c r="E79" i="29"/>
  <c r="C35" i="29"/>
  <c r="I46" i="28"/>
  <c r="I46" i="29"/>
  <c r="D36" i="28"/>
  <c r="D36" i="29"/>
  <c r="C36" i="29"/>
  <c r="L48" i="28"/>
  <c r="B48" i="28"/>
  <c r="C34" i="29"/>
  <c r="E34" i="28"/>
  <c r="E34" i="29"/>
  <c r="F37" i="28"/>
  <c r="F37" i="29"/>
  <c r="D79" i="28"/>
  <c r="I91" i="28"/>
  <c r="I91" i="29"/>
  <c r="B93" i="28"/>
  <c r="B96" i="28"/>
  <c r="C80" i="29"/>
  <c r="C87" i="29"/>
  <c r="C86" i="29"/>
  <c r="B79" i="29"/>
  <c r="E80" i="28"/>
  <c r="E80" i="29"/>
  <c r="H118" i="28"/>
  <c r="A25" i="31"/>
  <c r="Q24" i="31"/>
  <c r="F35" i="28"/>
  <c r="F35" i="29"/>
  <c r="G16" i="35"/>
  <c r="F16" i="34"/>
  <c r="G15" i="35"/>
  <c r="F15" i="34"/>
  <c r="G14" i="35"/>
  <c r="F14" i="34"/>
  <c r="R27" i="31"/>
  <c r="B28" i="31"/>
  <c r="I29" i="31"/>
  <c r="I30" i="31"/>
  <c r="I65" i="23"/>
  <c r="C19" i="23"/>
  <c r="C35" i="23"/>
  <c r="I67" i="23"/>
  <c r="J69" i="23"/>
  <c r="K69" i="23"/>
  <c r="D83" i="23"/>
  <c r="I70" i="23"/>
  <c r="I63" i="23"/>
  <c r="J61" i="23"/>
  <c r="K61" i="23"/>
  <c r="D79" i="23"/>
  <c r="I62" i="23"/>
  <c r="B86" i="29"/>
  <c r="D86" i="28"/>
  <c r="D86" i="29"/>
  <c r="H126" i="28"/>
  <c r="B88" i="29"/>
  <c r="D88" i="28"/>
  <c r="D88" i="29"/>
  <c r="S81" i="28"/>
  <c r="D35" i="29"/>
  <c r="E28" i="31"/>
  <c r="E27" i="31"/>
  <c r="C35" i="24"/>
  <c r="C19" i="24"/>
  <c r="E19" i="39"/>
  <c r="I65" i="24"/>
  <c r="D41" i="28"/>
  <c r="N46" i="28"/>
  <c r="N47" i="28"/>
  <c r="B41" i="29"/>
  <c r="S83" i="28"/>
  <c r="D34" i="29"/>
  <c r="B87" i="29"/>
  <c r="D87" i="28"/>
  <c r="D87" i="29"/>
  <c r="M28" i="31"/>
  <c r="M27" i="31"/>
  <c r="C28" i="31"/>
  <c r="S27" i="31"/>
  <c r="Q81" i="28"/>
  <c r="Q82" i="28"/>
  <c r="E36" i="29"/>
  <c r="E35" i="29"/>
  <c r="E37" i="29"/>
  <c r="I67" i="24"/>
  <c r="J69" i="24"/>
  <c r="K69" i="24"/>
  <c r="D83" i="24"/>
  <c r="I70" i="24"/>
  <c r="J61" i="24"/>
  <c r="K61" i="24"/>
  <c r="D79" i="24"/>
  <c r="I62" i="24"/>
  <c r="I63" i="24"/>
  <c r="C21" i="35"/>
  <c r="D21" i="35"/>
  <c r="E21" i="34"/>
  <c r="D93" i="36"/>
  <c r="D20" i="34"/>
  <c r="G20" i="35"/>
  <c r="F19" i="34"/>
  <c r="C141" i="37"/>
  <c r="E22" i="35"/>
  <c r="B144" i="37"/>
  <c r="Q85" i="28"/>
  <c r="Q86" i="28"/>
  <c r="D37" i="29"/>
  <c r="N48" i="28"/>
  <c r="N49" i="28"/>
  <c r="I38" i="23"/>
  <c r="I41" i="23"/>
  <c r="I37" i="23"/>
  <c r="I39" i="23"/>
  <c r="I40" i="23"/>
  <c r="D19" i="25"/>
  <c r="E19" i="38"/>
  <c r="I24" i="23"/>
  <c r="D24" i="23"/>
  <c r="I22" i="23"/>
  <c r="D22" i="23"/>
  <c r="I25" i="23"/>
  <c r="D25" i="23"/>
  <c r="I21" i="23"/>
  <c r="I23" i="23"/>
  <c r="D23" i="23"/>
  <c r="B52" i="28"/>
  <c r="B52" i="29"/>
  <c r="B95" i="37"/>
  <c r="F80" i="28"/>
  <c r="F80" i="29"/>
  <c r="F79" i="28"/>
  <c r="F36" i="28"/>
  <c r="F36" i="29"/>
  <c r="K93" i="28"/>
  <c r="K94" i="28"/>
  <c r="S79" i="28"/>
  <c r="S80" i="28"/>
  <c r="F34" i="28"/>
  <c r="F34" i="29"/>
  <c r="K95" i="28"/>
  <c r="K96" i="28"/>
  <c r="D79" i="29"/>
  <c r="E93" i="36"/>
  <c r="B48" i="29"/>
  <c r="Q77" i="28"/>
  <c r="Q78" i="28"/>
  <c r="B93" i="29"/>
  <c r="E88" i="36"/>
  <c r="C138" i="37"/>
  <c r="E86" i="36"/>
  <c r="C136" i="37"/>
  <c r="E85" i="36"/>
  <c r="E87" i="36"/>
  <c r="C137" i="37"/>
  <c r="Q25" i="31"/>
  <c r="A26" i="31"/>
  <c r="J63" i="24"/>
  <c r="K63" i="24"/>
  <c r="I64" i="24"/>
  <c r="J67" i="24"/>
  <c r="K67" i="24"/>
  <c r="D75" i="24"/>
  <c r="I68" i="24"/>
  <c r="S78" i="28"/>
  <c r="T77" i="28"/>
  <c r="U77" i="28"/>
  <c r="C29" i="31"/>
  <c r="S28" i="31"/>
  <c r="M30" i="31"/>
  <c r="M29" i="31"/>
  <c r="B99" i="28"/>
  <c r="B102" i="28"/>
  <c r="B96" i="29"/>
  <c r="B111" i="37"/>
  <c r="S84" i="28"/>
  <c r="T83" i="28"/>
  <c r="U83" i="28"/>
  <c r="S85" i="28"/>
  <c r="D41" i="29"/>
  <c r="E29" i="24"/>
  <c r="C19" i="27"/>
  <c r="I23" i="24"/>
  <c r="I24" i="24"/>
  <c r="I25" i="24"/>
  <c r="I22" i="24"/>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29" i="31"/>
  <c r="S82" i="28"/>
  <c r="T81" i="28"/>
  <c r="U81" i="28"/>
  <c r="J63" i="23"/>
  <c r="K63" i="23"/>
  <c r="B76" i="23"/>
  <c r="I64" i="23"/>
  <c r="E45" i="23"/>
  <c r="J65" i="23"/>
  <c r="K65" i="23"/>
  <c r="D75" i="23"/>
  <c r="I66" i="23"/>
  <c r="I21" i="24"/>
  <c r="J65" i="24"/>
  <c r="K65" i="24"/>
  <c r="B76" i="24"/>
  <c r="I66" i="24"/>
  <c r="E45" i="24"/>
  <c r="I39" i="24"/>
  <c r="I40" i="24"/>
  <c r="I41" i="24"/>
  <c r="I38" i="24"/>
  <c r="J67" i="23"/>
  <c r="K67" i="23"/>
  <c r="I68" i="23"/>
  <c r="E29" i="23"/>
  <c r="B30" i="23"/>
  <c r="I31" i="31"/>
  <c r="I32" i="31"/>
  <c r="R28" i="31"/>
  <c r="B29" i="31"/>
  <c r="I37" i="24"/>
  <c r="E25" i="38"/>
  <c r="B22" i="37"/>
  <c r="E24" i="38"/>
  <c r="B21" i="37"/>
  <c r="E23" i="38"/>
  <c r="B20" i="37"/>
  <c r="E22" i="38"/>
  <c r="B19" i="37"/>
  <c r="C22" i="35"/>
  <c r="D22" i="35"/>
  <c r="E22" i="34"/>
  <c r="D94" i="36"/>
  <c r="D21" i="34"/>
  <c r="G21" i="35"/>
  <c r="F20" i="34"/>
  <c r="C142" i="37"/>
  <c r="T79" i="28"/>
  <c r="U79" i="28"/>
  <c r="H39" i="23"/>
  <c r="D39" i="23"/>
  <c r="E39" i="38"/>
  <c r="B30" i="37"/>
  <c r="D21" i="23"/>
  <c r="H26" i="23"/>
  <c r="H37" i="23"/>
  <c r="D37" i="23"/>
  <c r="E37" i="38"/>
  <c r="B28" i="37"/>
  <c r="H41" i="23"/>
  <c r="D41" i="23"/>
  <c r="E41" i="38"/>
  <c r="B32" i="37"/>
  <c r="H40" i="23"/>
  <c r="D40" i="23"/>
  <c r="E40" i="38"/>
  <c r="B31" i="37"/>
  <c r="D38" i="23"/>
  <c r="E38" i="38"/>
  <c r="B29" i="37"/>
  <c r="H38" i="23"/>
  <c r="N51" i="28"/>
  <c r="N52" i="28"/>
  <c r="B55" i="28"/>
  <c r="B55" i="29"/>
  <c r="K97" i="28"/>
  <c r="K98" i="28"/>
  <c r="F79" i="29"/>
  <c r="E94" i="36"/>
  <c r="A27" i="31"/>
  <c r="Q26" i="31"/>
  <c r="I33" i="31"/>
  <c r="I34" i="31"/>
  <c r="D22" i="25"/>
  <c r="H22" i="23"/>
  <c r="D24" i="25"/>
  <c r="H24" i="23"/>
  <c r="D23" i="25"/>
  <c r="H23" i="23"/>
  <c r="H41" i="24"/>
  <c r="D41" i="24"/>
  <c r="E41" i="39"/>
  <c r="B64" i="37"/>
  <c r="H25" i="24"/>
  <c r="D25" i="24"/>
  <c r="H23" i="24"/>
  <c r="D23" i="24"/>
  <c r="S86" i="28"/>
  <c r="T85" i="28"/>
  <c r="U85" i="28"/>
  <c r="B99" i="29"/>
  <c r="M32" i="31"/>
  <c r="M31" i="31"/>
  <c r="C30" i="31"/>
  <c r="S29" i="31"/>
  <c r="R29" i="31"/>
  <c r="B30" i="31"/>
  <c r="H39" i="24"/>
  <c r="D39" i="24"/>
  <c r="E39" i="39"/>
  <c r="B62" i="37"/>
  <c r="H21" i="24"/>
  <c r="H37" i="24"/>
  <c r="D37" i="24"/>
  <c r="D25" i="25"/>
  <c r="H25" i="23"/>
  <c r="H21" i="23"/>
  <c r="H38" i="24"/>
  <c r="D38" i="24"/>
  <c r="E38" i="39"/>
  <c r="B61" i="37"/>
  <c r="H40" i="24"/>
  <c r="D40" i="24"/>
  <c r="E40" i="39"/>
  <c r="B63" i="37"/>
  <c r="H22" i="24"/>
  <c r="D22" i="24"/>
  <c r="H24" i="24"/>
  <c r="D24" i="24"/>
  <c r="B29" i="27"/>
  <c r="G29" i="39"/>
  <c r="H29" i="39"/>
  <c r="E29" i="27"/>
  <c r="F29" i="27"/>
  <c r="B29" i="39"/>
  <c r="E37" i="39"/>
  <c r="B60" i="37"/>
  <c r="D37" i="27"/>
  <c r="D25" i="27"/>
  <c r="E25" i="39"/>
  <c r="B54" i="37"/>
  <c r="D22" i="27"/>
  <c r="E22" i="39"/>
  <c r="B51" i="37"/>
  <c r="D23" i="27"/>
  <c r="E23" i="39"/>
  <c r="B52" i="37"/>
  <c r="D24" i="27"/>
  <c r="E24" i="39"/>
  <c r="B53" i="37"/>
  <c r="D22" i="34"/>
  <c r="G22" i="35"/>
  <c r="F21" i="34"/>
  <c r="C143" i="37"/>
  <c r="G45" i="38"/>
  <c r="B45" i="38"/>
  <c r="H45" i="38"/>
  <c r="D21" i="24"/>
  <c r="D21" i="25"/>
  <c r="E21" i="38"/>
  <c r="B18" i="37"/>
  <c r="B57" i="28"/>
  <c r="B57" i="29"/>
  <c r="B97" i="37"/>
  <c r="D40" i="27"/>
  <c r="D41" i="27"/>
  <c r="D39" i="27"/>
  <c r="D38" i="27"/>
  <c r="D39" i="25"/>
  <c r="D37" i="25"/>
  <c r="D38" i="25"/>
  <c r="D40" i="25"/>
  <c r="D41" i="25"/>
  <c r="A28" i="31"/>
  <c r="Q27" i="31"/>
  <c r="F31" i="23"/>
  <c r="C31" i="31"/>
  <c r="S30" i="31"/>
  <c r="M34" i="31"/>
  <c r="M33" i="31"/>
  <c r="B106" i="28"/>
  <c r="B110" i="28"/>
  <c r="B102" i="29"/>
  <c r="B113" i="37"/>
  <c r="H42" i="23"/>
  <c r="F47" i="23"/>
  <c r="H42" i="24"/>
  <c r="F47" i="27"/>
  <c r="R30" i="31"/>
  <c r="B31" i="31"/>
  <c r="I35" i="31"/>
  <c r="I36" i="31"/>
  <c r="H26" i="24"/>
  <c r="F31" i="27"/>
  <c r="E92" i="27"/>
  <c r="A52" i="35"/>
  <c r="B49" i="27"/>
  <c r="B45" i="27"/>
  <c r="G45" i="39"/>
  <c r="B45" i="39"/>
  <c r="F92" i="39"/>
  <c r="H45" i="39"/>
  <c r="B33" i="27"/>
  <c r="C35" i="39"/>
  <c r="D21" i="27"/>
  <c r="E21" i="39"/>
  <c r="B50" i="37"/>
  <c r="F22" i="34"/>
  <c r="C144" i="37"/>
  <c r="F47" i="25"/>
  <c r="I47" i="38"/>
  <c r="G29" i="38"/>
  <c r="B29" i="38"/>
  <c r="H29" i="38"/>
  <c r="F29" i="25"/>
  <c r="E29" i="25"/>
  <c r="B29" i="25"/>
  <c r="I31" i="38"/>
  <c r="B26" i="37"/>
  <c r="F31" i="25"/>
  <c r="B60" i="28"/>
  <c r="B60" i="29"/>
  <c r="E45" i="27"/>
  <c r="F45" i="27"/>
  <c r="F45" i="25"/>
  <c r="E45" i="25"/>
  <c r="B45" i="25"/>
  <c r="A29" i="31"/>
  <c r="Q28" i="31"/>
  <c r="B35" i="27"/>
  <c r="C35" i="27"/>
  <c r="I37" i="31"/>
  <c r="I38" i="31"/>
  <c r="R31" i="31"/>
  <c r="B32" i="31"/>
  <c r="B106" i="29"/>
  <c r="M36" i="31"/>
  <c r="M35" i="31"/>
  <c r="C32" i="31"/>
  <c r="S31" i="31"/>
  <c r="F92" i="38"/>
  <c r="B36" i="37"/>
  <c r="B33" i="38"/>
  <c r="D35" i="38"/>
  <c r="C35" i="38"/>
  <c r="B35" i="25"/>
  <c r="C35" i="25"/>
  <c r="B49" i="38"/>
  <c r="B49" i="25"/>
  <c r="E92" i="25"/>
  <c r="A51" i="35"/>
  <c r="B33" i="25"/>
  <c r="Q29" i="31"/>
  <c r="A30" i="31"/>
  <c r="C33" i="31"/>
  <c r="S32" i="31"/>
  <c r="M38" i="31"/>
  <c r="M37" i="31"/>
  <c r="B113" i="28"/>
  <c r="B110" i="29"/>
  <c r="B115" i="37"/>
  <c r="R32" i="31"/>
  <c r="B33" i="31"/>
  <c r="I39" i="31"/>
  <c r="I40" i="31"/>
  <c r="A31" i="31"/>
  <c r="Q30" i="31"/>
  <c r="I41" i="31"/>
  <c r="I42" i="31"/>
  <c r="B114" i="28"/>
  <c r="B113" i="29"/>
  <c r="M40" i="31"/>
  <c r="M39" i="31"/>
  <c r="C34" i="31"/>
  <c r="S33" i="31"/>
  <c r="R33" i="31"/>
  <c r="B34" i="31"/>
  <c r="A32" i="31"/>
  <c r="Q31" i="31"/>
  <c r="R34" i="31"/>
  <c r="B35" i="31"/>
  <c r="C35" i="31"/>
  <c r="S34" i="31"/>
  <c r="M42" i="31"/>
  <c r="M41" i="31"/>
  <c r="B115" i="28"/>
  <c r="B114" i="29"/>
  <c r="I43" i="31"/>
  <c r="I44" i="31"/>
  <c r="A33" i="31"/>
  <c r="Q32" i="31"/>
  <c r="I45" i="31"/>
  <c r="I46" i="31"/>
  <c r="B116" i="28"/>
  <c r="B115" i="29"/>
  <c r="M44" i="31"/>
  <c r="M43" i="31"/>
  <c r="C36" i="31"/>
  <c r="S35" i="31"/>
  <c r="R35" i="31"/>
  <c r="B36" i="31"/>
  <c r="A34" i="31"/>
  <c r="Q33" i="31"/>
  <c r="R36" i="31"/>
  <c r="B37" i="31"/>
  <c r="C37" i="31"/>
  <c r="S36" i="31"/>
  <c r="M46" i="31"/>
  <c r="M45" i="31"/>
  <c r="B118" i="28"/>
  <c r="B116" i="29"/>
  <c r="I47" i="31"/>
  <c r="I48" i="31"/>
  <c r="Q34" i="31"/>
  <c r="A35" i="31"/>
  <c r="I49" i="31"/>
  <c r="I50" i="31"/>
  <c r="B119" i="28"/>
  <c r="B118" i="29"/>
  <c r="M48" i="31"/>
  <c r="M47" i="31"/>
  <c r="C38" i="31"/>
  <c r="S37" i="31"/>
  <c r="R37" i="31"/>
  <c r="B38" i="31"/>
  <c r="A36" i="31"/>
  <c r="Q35" i="31"/>
  <c r="R38" i="31"/>
  <c r="B39" i="31"/>
  <c r="C39" i="31"/>
  <c r="S38" i="31"/>
  <c r="M50" i="31"/>
  <c r="M49" i="31"/>
  <c r="B120" i="28"/>
  <c r="B119" i="29"/>
  <c r="I51" i="31"/>
  <c r="I52" i="31"/>
  <c r="A37" i="31"/>
  <c r="Q36" i="31"/>
  <c r="I53" i="31"/>
  <c r="I54" i="31"/>
  <c r="B121" i="28"/>
  <c r="B120" i="29"/>
  <c r="M52" i="31"/>
  <c r="M51" i="31"/>
  <c r="C40" i="31"/>
  <c r="S39" i="31"/>
  <c r="R39" i="31"/>
  <c r="B40" i="31"/>
  <c r="Q37" i="31"/>
  <c r="A38" i="31"/>
  <c r="R40" i="31"/>
  <c r="B41" i="31"/>
  <c r="C41" i="31"/>
  <c r="S40" i="31"/>
  <c r="M54" i="31"/>
  <c r="M53" i="31"/>
  <c r="B123" i="28"/>
  <c r="B121" i="29"/>
  <c r="I55" i="31"/>
  <c r="I56" i="31"/>
  <c r="Q38" i="31"/>
  <c r="A39" i="31"/>
  <c r="I57" i="31"/>
  <c r="I58" i="31"/>
  <c r="B124" i="28"/>
  <c r="B123" i="29"/>
  <c r="M56" i="31"/>
  <c r="M55" i="31"/>
  <c r="C42" i="31"/>
  <c r="S41" i="31"/>
  <c r="R41" i="31"/>
  <c r="B42" i="31"/>
  <c r="A40" i="31"/>
  <c r="Q39" i="31"/>
  <c r="R42" i="31"/>
  <c r="B43" i="31"/>
  <c r="C43" i="31"/>
  <c r="S42" i="31"/>
  <c r="M58" i="31"/>
  <c r="M57" i="31"/>
  <c r="B125" i="28"/>
  <c r="B124" i="29"/>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Q40" i="31"/>
  <c r="A41" i="31"/>
  <c r="B126" i="28"/>
  <c r="B125" i="29"/>
  <c r="M60" i="31"/>
  <c r="M59" i="31"/>
  <c r="C44" i="31"/>
  <c r="S43" i="31"/>
  <c r="R43" i="31"/>
  <c r="B44" i="31"/>
  <c r="Q41" i="31"/>
  <c r="A42" i="31"/>
  <c r="C45" i="31"/>
  <c r="S44" i="31"/>
  <c r="M62" i="31"/>
  <c r="M61" i="31"/>
  <c r="B127" i="28"/>
  <c r="B126" i="29"/>
  <c r="R44" i="31"/>
  <c r="B45" i="31"/>
  <c r="Q42" i="31"/>
  <c r="A43" i="31"/>
  <c r="R45" i="31"/>
  <c r="B46" i="31"/>
  <c r="B128" i="28"/>
  <c r="B127" i="29"/>
  <c r="M64" i="31"/>
  <c r="M63" i="31"/>
  <c r="C46" i="31"/>
  <c r="S45" i="31"/>
  <c r="A44" i="31"/>
  <c r="Q43" i="31"/>
  <c r="C47" i="31"/>
  <c r="S46" i="31"/>
  <c r="M66" i="31"/>
  <c r="M65" i="31"/>
  <c r="B129" i="28"/>
  <c r="B128" i="29"/>
  <c r="R46" i="31"/>
  <c r="B47" i="31"/>
  <c r="A45" i="31"/>
  <c r="Q44" i="31"/>
  <c r="E131" i="28"/>
  <c r="B129" i="29"/>
  <c r="M68" i="31"/>
  <c r="M67" i="31"/>
  <c r="C48" i="31"/>
  <c r="S47" i="31"/>
  <c r="R47" i="31"/>
  <c r="B48" i="31"/>
  <c r="A46" i="31"/>
  <c r="Q45" i="31"/>
  <c r="C49" i="31"/>
  <c r="S48" i="31"/>
  <c r="M70" i="31"/>
  <c r="M69" i="31"/>
  <c r="A53" i="35"/>
  <c r="E131" i="29"/>
  <c r="R48" i="31"/>
  <c r="B49" i="31"/>
  <c r="A47" i="31"/>
  <c r="Q46" i="31"/>
  <c r="M72" i="31"/>
  <c r="M71" i="31"/>
  <c r="C50" i="31"/>
  <c r="S49" i="31"/>
  <c r="R49" i="31"/>
  <c r="B50" i="31"/>
  <c r="A48" i="31"/>
  <c r="Q47" i="31"/>
  <c r="R50" i="31"/>
  <c r="B51" i="31"/>
  <c r="C51" i="31"/>
  <c r="S50" i="31"/>
  <c r="M74" i="31"/>
  <c r="M73" i="31"/>
  <c r="A49" i="31"/>
  <c r="Q48" i="31"/>
  <c r="M76" i="31"/>
  <c r="M75" i="31"/>
  <c r="C52" i="31"/>
  <c r="S51" i="31"/>
  <c r="R51" i="31"/>
  <c r="B52" i="31"/>
  <c r="A50" i="31"/>
  <c r="Q49" i="31"/>
  <c r="R52" i="31"/>
  <c r="B53" i="31"/>
  <c r="C53" i="31"/>
  <c r="S52" i="31"/>
  <c r="M78" i="31"/>
  <c r="M77" i="31"/>
  <c r="Q50" i="31"/>
  <c r="A51" i="31"/>
  <c r="M80" i="31"/>
  <c r="M79" i="31"/>
  <c r="C54" i="31"/>
  <c r="S53" i="31"/>
  <c r="R53" i="31"/>
  <c r="B54" i="31"/>
  <c r="A52" i="31"/>
  <c r="Q51" i="31"/>
  <c r="R54" i="31"/>
  <c r="B55" i="31"/>
  <c r="C55" i="31"/>
  <c r="S54" i="31"/>
  <c r="M82" i="31"/>
  <c r="M81" i="31"/>
  <c r="A53" i="31"/>
  <c r="Q52" i="31"/>
  <c r="M84" i="31"/>
  <c r="M83" i="31"/>
  <c r="C56" i="31"/>
  <c r="S55" i="31"/>
  <c r="R55" i="31"/>
  <c r="B56" i="31"/>
  <c r="Q53" i="31"/>
  <c r="A54" i="31"/>
  <c r="R56" i="31"/>
  <c r="B57" i="31"/>
  <c r="C57" i="31"/>
  <c r="S56" i="31"/>
  <c r="M86" i="31"/>
  <c r="M85" i="31"/>
  <c r="A55" i="31"/>
  <c r="Q54" i="31"/>
  <c r="M88" i="31"/>
  <c r="M87" i="31"/>
  <c r="C58" i="31"/>
  <c r="S57" i="31"/>
  <c r="R57" i="31"/>
  <c r="B58" i="31"/>
  <c r="A56" i="31"/>
  <c r="Q55" i="31"/>
  <c r="R58" i="31"/>
  <c r="B59" i="31"/>
  <c r="C59" i="31"/>
  <c r="S58" i="31"/>
  <c r="M90" i="31"/>
  <c r="M89" i="31"/>
  <c r="A57" i="31"/>
  <c r="Q56" i="31"/>
  <c r="M92" i="31"/>
  <c r="M91" i="31"/>
  <c r="C60" i="31"/>
  <c r="S59" i="31"/>
  <c r="R59" i="31"/>
  <c r="B60" i="31"/>
  <c r="Q57" i="31"/>
  <c r="A58" i="31"/>
  <c r="R60" i="31"/>
  <c r="B61" i="31"/>
  <c r="C61" i="31"/>
  <c r="S60" i="31"/>
  <c r="M94" i="31"/>
  <c r="M93" i="31"/>
  <c r="Q58" i="31"/>
  <c r="A59" i="31"/>
  <c r="M96" i="31"/>
  <c r="M95" i="31"/>
  <c r="C62" i="31"/>
  <c r="S61" i="31"/>
  <c r="R61" i="31"/>
  <c r="B62" i="31"/>
  <c r="A60" i="31"/>
  <c r="Q59" i="31"/>
  <c r="R62" i="31"/>
  <c r="B63" i="31"/>
  <c r="C63" i="31"/>
  <c r="S62" i="31"/>
  <c r="M98" i="31"/>
  <c r="M97" i="31"/>
  <c r="Q60" i="31"/>
  <c r="A61" i="31"/>
  <c r="M100" i="31"/>
  <c r="M99" i="31"/>
  <c r="C64" i="31"/>
  <c r="S63" i="31"/>
  <c r="R63" i="31"/>
  <c r="B64" i="31"/>
  <c r="A62" i="31"/>
  <c r="Q61" i="31"/>
  <c r="C65" i="31"/>
  <c r="S64" i="31"/>
  <c r="M102" i="31"/>
  <c r="M101" i="31"/>
  <c r="R64" i="31"/>
  <c r="B65" i="31"/>
  <c r="A63" i="31"/>
  <c r="Q62" i="31"/>
  <c r="R65" i="31"/>
  <c r="B66" i="31"/>
  <c r="M104" i="31"/>
  <c r="M103" i="31"/>
  <c r="C66" i="31"/>
  <c r="S65" i="31"/>
  <c r="A64" i="31"/>
  <c r="Q63" i="31"/>
  <c r="C67" i="31"/>
  <c r="S66" i="31"/>
  <c r="M106" i="31"/>
  <c r="M105" i="31"/>
  <c r="R66" i="31"/>
  <c r="B67" i="31"/>
  <c r="A65" i="31"/>
  <c r="Q64" i="31"/>
  <c r="R67" i="31"/>
  <c r="B68" i="31"/>
  <c r="M107" i="31"/>
  <c r="M108" i="31"/>
  <c r="C68" i="31"/>
  <c r="S67" i="31"/>
  <c r="Q65" i="31"/>
  <c r="A66" i="31"/>
  <c r="M109" i="31"/>
  <c r="M110" i="31"/>
  <c r="C69" i="31"/>
  <c r="S68" i="31"/>
  <c r="R68" i="31"/>
  <c r="B69" i="31"/>
  <c r="Q66" i="31"/>
  <c r="A67" i="31"/>
  <c r="R69" i="31"/>
  <c r="B70" i="31"/>
  <c r="C70" i="31"/>
  <c r="S69" i="31"/>
  <c r="A68" i="31"/>
  <c r="Q67" i="31"/>
  <c r="C71" i="31"/>
  <c r="S70" i="31"/>
  <c r="R70" i="31"/>
  <c r="B71" i="31"/>
  <c r="A69" i="31"/>
  <c r="Q68" i="31"/>
  <c r="R71" i="31"/>
  <c r="B72" i="31"/>
  <c r="C72" i="31"/>
  <c r="S71" i="31"/>
  <c r="A70" i="31"/>
  <c r="Q69" i="31"/>
  <c r="R72" i="31"/>
  <c r="B73" i="31"/>
  <c r="C73" i="31"/>
  <c r="S72" i="31"/>
  <c r="A71" i="31"/>
  <c r="Q70" i="31"/>
  <c r="R73" i="31"/>
  <c r="B74" i="31"/>
  <c r="C74" i="31"/>
  <c r="S73" i="31"/>
  <c r="Q71" i="31"/>
  <c r="A72" i="31"/>
  <c r="C75" i="31"/>
  <c r="S74" i="31"/>
  <c r="R74" i="31"/>
  <c r="B75" i="31"/>
  <c r="A73" i="31"/>
  <c r="Q72" i="31"/>
  <c r="R75" i="31"/>
  <c r="B76" i="31"/>
  <c r="C76" i="31"/>
  <c r="S75" i="31"/>
  <c r="A74" i="31"/>
  <c r="Q73" i="31"/>
  <c r="C77" i="31"/>
  <c r="S76" i="31"/>
  <c r="R76" i="31"/>
  <c r="B77" i="31"/>
  <c r="A75" i="31"/>
  <c r="Q74" i="31"/>
  <c r="R77" i="31"/>
  <c r="B78" i="31"/>
  <c r="C78" i="31"/>
  <c r="S77" i="31"/>
  <c r="A76" i="31"/>
  <c r="Q75" i="31"/>
  <c r="C79" i="31"/>
  <c r="S78" i="31"/>
  <c r="R78" i="31"/>
  <c r="B79" i="31"/>
  <c r="A77" i="31"/>
  <c r="Q76" i="31"/>
  <c r="R79" i="31"/>
  <c r="B80" i="31"/>
  <c r="C80" i="31"/>
  <c r="S79" i="31"/>
  <c r="A78" i="31"/>
  <c r="Q77" i="31"/>
  <c r="C81" i="31"/>
  <c r="S80" i="31"/>
  <c r="R80" i="31"/>
  <c r="B81" i="31"/>
  <c r="A79" i="31"/>
  <c r="Q78" i="31"/>
  <c r="R81" i="31"/>
  <c r="B82" i="31"/>
  <c r="C82" i="31"/>
  <c r="S81" i="31"/>
  <c r="A80" i="31"/>
  <c r="Q79" i="31"/>
  <c r="C83" i="31"/>
  <c r="S82" i="31"/>
  <c r="R82" i="31"/>
  <c r="B83" i="31"/>
  <c r="A81" i="31"/>
  <c r="Q80" i="31"/>
  <c r="R83" i="31"/>
  <c r="B84" i="31"/>
  <c r="C84" i="31"/>
  <c r="S83" i="31"/>
  <c r="A82" i="31"/>
  <c r="Q81" i="31"/>
  <c r="C85" i="31"/>
  <c r="S84" i="31"/>
  <c r="R84" i="31"/>
  <c r="B85" i="31"/>
  <c r="A83" i="31"/>
  <c r="Q82" i="31"/>
  <c r="R85" i="31"/>
  <c r="B86" i="31"/>
  <c r="C86" i="31"/>
  <c r="S85" i="31"/>
  <c r="A84" i="31"/>
  <c r="Q83" i="31"/>
  <c r="C87" i="31"/>
  <c r="S86" i="31"/>
  <c r="R86" i="31"/>
  <c r="B87" i="31"/>
  <c r="A85" i="31"/>
  <c r="Q84" i="31"/>
  <c r="C88" i="31"/>
  <c r="S87" i="31"/>
  <c r="R87" i="31"/>
  <c r="B88" i="31"/>
  <c r="A86" i="31"/>
  <c r="Q85" i="31"/>
  <c r="R88" i="31"/>
  <c r="B89" i="31"/>
  <c r="C89" i="31"/>
  <c r="S88" i="31"/>
  <c r="A87" i="31"/>
  <c r="Q86" i="31"/>
  <c r="C90" i="31"/>
  <c r="S89" i="31"/>
  <c r="R89" i="31"/>
  <c r="B90" i="31"/>
  <c r="A88" i="31"/>
  <c r="Q87" i="31"/>
  <c r="C91" i="31"/>
  <c r="S90" i="31"/>
  <c r="R90" i="31"/>
  <c r="B91" i="31"/>
  <c r="A89" i="31"/>
  <c r="Q88" i="31"/>
  <c r="R91" i="31"/>
  <c r="B92" i="31"/>
  <c r="C92" i="31"/>
  <c r="S91" i="31"/>
  <c r="A90" i="31"/>
  <c r="Q89" i="31"/>
  <c r="C93" i="31"/>
  <c r="S92" i="31"/>
  <c r="R92" i="31"/>
  <c r="B93" i="31"/>
  <c r="A91" i="31"/>
  <c r="Q90" i="31"/>
  <c r="C94" i="31"/>
  <c r="S93" i="31"/>
  <c r="B94" i="31"/>
  <c r="R93" i="31"/>
  <c r="A92" i="31"/>
  <c r="Q91" i="31"/>
  <c r="R94" i="31"/>
  <c r="B95" i="31"/>
  <c r="C95" i="31"/>
  <c r="S94" i="31"/>
  <c r="A93" i="31"/>
  <c r="Q92" i="31"/>
  <c r="C96" i="31"/>
  <c r="S95" i="31"/>
  <c r="R95" i="31"/>
  <c r="B96" i="31"/>
  <c r="A94" i="31"/>
  <c r="Q93" i="31"/>
  <c r="C97" i="31"/>
  <c r="S96" i="31"/>
  <c r="R96" i="31"/>
  <c r="B97" i="31"/>
  <c r="A95" i="31"/>
  <c r="Q94" i="31"/>
  <c r="B98" i="31"/>
  <c r="R97" i="31"/>
  <c r="C98" i="31"/>
  <c r="S97" i="31"/>
  <c r="Q95" i="31"/>
  <c r="A96" i="31"/>
  <c r="C99" i="31"/>
  <c r="S98" i="31"/>
  <c r="R98" i="31"/>
  <c r="B99" i="31"/>
  <c r="A97" i="31"/>
  <c r="Q96" i="31"/>
  <c r="C100" i="31"/>
  <c r="S99" i="31"/>
  <c r="R99" i="31"/>
  <c r="B100" i="31"/>
  <c r="A98" i="31"/>
  <c r="Q97" i="31"/>
  <c r="C101" i="31"/>
  <c r="S100" i="31"/>
  <c r="R100" i="31"/>
  <c r="B101" i="31"/>
  <c r="A99" i="31"/>
  <c r="Q98" i="31"/>
  <c r="C102" i="31"/>
  <c r="S101" i="31"/>
  <c r="B102" i="31"/>
  <c r="R101" i="31"/>
  <c r="A100" i="31"/>
  <c r="Q99" i="31"/>
  <c r="R102" i="31"/>
  <c r="B103" i="31"/>
  <c r="C103" i="31"/>
  <c r="S102" i="31"/>
  <c r="Q100" i="31"/>
  <c r="A101" i="31"/>
  <c r="C104" i="31"/>
  <c r="S103" i="31"/>
  <c r="R103" i="31"/>
  <c r="B104" i="31"/>
  <c r="A102" i="31"/>
  <c r="Q101" i="31"/>
  <c r="R104" i="31"/>
  <c r="B105" i="31"/>
  <c r="C105" i="31"/>
  <c r="S104" i="31"/>
  <c r="A103" i="31"/>
  <c r="Q102" i="31"/>
  <c r="R105" i="31"/>
  <c r="B106" i="31"/>
  <c r="C106" i="31"/>
  <c r="S105" i="31"/>
  <c r="A104" i="31"/>
  <c r="Q103" i="31"/>
  <c r="C107" i="31"/>
  <c r="S106" i="31"/>
  <c r="R106" i="31"/>
  <c r="B107" i="31"/>
  <c r="A105" i="31"/>
  <c r="Q104" i="31"/>
  <c r="R107" i="31"/>
  <c r="B108" i="31"/>
  <c r="C108" i="31"/>
  <c r="S107" i="31"/>
  <c r="Q105" i="31"/>
  <c r="A106" i="31"/>
  <c r="C109" i="31"/>
  <c r="S108" i="31"/>
  <c r="B109" i="31"/>
  <c r="R108" i="31"/>
  <c r="A107" i="31"/>
  <c r="Q106" i="31"/>
  <c r="R109" i="31"/>
  <c r="B110" i="31"/>
  <c r="R110" i="31"/>
  <c r="C110" i="31"/>
  <c r="S110" i="31"/>
  <c r="V2" i="31"/>
  <c r="S109" i="31"/>
  <c r="A108" i="31"/>
  <c r="Q107" i="31"/>
  <c r="A109" i="31"/>
  <c r="Q108" i="31"/>
  <c r="Q109" i="31"/>
  <c r="A110" i="31"/>
  <c r="Q110" i="31"/>
  <c r="U1" i="31"/>
  <c r="U2" i="31"/>
  <c r="D13" i="35"/>
  <c r="E13" i="34"/>
  <c r="C13" i="35"/>
  <c r="D13" i="34"/>
  <c r="G13" i="35"/>
  <c r="D85" i="36"/>
  <c r="C135" i="37"/>
  <c r="F13" i="34"/>
  <c r="C30" i="35"/>
  <c r="B34" i="35"/>
  <c r="B31" i="35"/>
  <c r="B31" i="34"/>
  <c r="B34" i="34"/>
  <c r="B146" i="37"/>
  <c r="B39" i="35"/>
  <c r="B36" i="35"/>
  <c r="B36" i="34"/>
  <c r="B41" i="35"/>
  <c r="B41" i="34"/>
  <c r="B39" i="34"/>
  <c r="B148" i="37"/>
  <c r="B44" i="35"/>
  <c r="B44" i="34"/>
  <c r="B150" i="37"/>
  <c r="B46" i="35"/>
  <c r="B46" i="34"/>
  <c r="B49" i="35"/>
  <c r="B51" i="35"/>
  <c r="B51" i="34"/>
  <c r="B49" i="34"/>
  <c r="B152" i="37"/>
</calcChain>
</file>

<file path=xl/comments1.xml><?xml version="1.0" encoding="utf-8"?>
<comments xmlns="http://schemas.openxmlformats.org/spreadsheetml/2006/main">
  <authors>
    <author>Lanny</author>
  </authors>
  <commentList>
    <comment ref="F12" authorId="0">
      <text>
        <r>
          <rPr>
            <sz val="9"/>
            <color indexed="81"/>
            <rFont val="Tahoma"/>
            <family val="2"/>
          </rPr>
          <t xml:space="preserve">Attention Mac Users - Since not all values show up immediately on the pull down menus, enter a lesser value and try again.  Higher values should appear the second time.
</t>
        </r>
      </text>
    </comment>
  </commentList>
</comments>
</file>

<file path=xl/comments2.xml><?xml version="1.0" encoding="utf-8"?>
<comments xmlns="http://schemas.openxmlformats.org/spreadsheetml/2006/main">
  <authors>
    <author>Lanny</author>
  </authors>
  <commentList>
    <comment ref="F4" authorId="0">
      <text>
        <r>
          <rPr>
            <sz val="9"/>
            <color indexed="81"/>
            <rFont val="Tahoma"/>
            <family val="2"/>
          </rPr>
          <t>Click the scrollbar in the lower pane and verify you can move the rows in that pane up or down. You will work in the lower pane and leave the upper pane fixed until you click the link Go To Graph.
You should also minimize the ribbon.</t>
        </r>
      </text>
    </comment>
  </commentList>
</comments>
</file>

<file path=xl/comments3.xml><?xml version="1.0" encoding="utf-8"?>
<comments xmlns="http://schemas.openxmlformats.org/spreadsheetml/2006/main">
  <authors>
    <author>Lanny</author>
  </authors>
  <commentList>
    <comment ref="H4" authorId="0">
      <text>
        <r>
          <rPr>
            <sz val="9"/>
            <color indexed="81"/>
            <rFont val="Tahoma"/>
            <family val="2"/>
          </rPr>
          <t xml:space="preserve">Click the scrollbar in the lower pane and verify you can move the rows in that pane up or down. You will work in the lower pane and leave the upper pane fixed until you click the link Go To Graph.  You should also minimize the ribbon.
</t>
        </r>
      </text>
    </comment>
  </commentList>
</comments>
</file>

<file path=xl/comments4.xml><?xml version="1.0" encoding="utf-8"?>
<comments xmlns="http://schemas.openxmlformats.org/spreadsheetml/2006/main">
  <authors>
    <author>Lanny</author>
  </authors>
  <commentList>
    <comment ref="C24" authorId="0">
      <text>
        <r>
          <rPr>
            <b/>
            <sz val="9"/>
            <color indexed="81"/>
            <rFont val="Tahoma"/>
            <family val="2"/>
          </rPr>
          <t>After putting in the letter hit the Enter (Return) key to make it appear in the box.</t>
        </r>
        <r>
          <rPr>
            <sz val="9"/>
            <color indexed="81"/>
            <rFont val="Tahoma"/>
            <family val="2"/>
          </rPr>
          <t xml:space="preserve">
</t>
        </r>
      </text>
    </comment>
  </commentList>
</comments>
</file>

<file path=xl/sharedStrings.xml><?xml version="1.0" encoding="utf-8"?>
<sst xmlns="http://schemas.openxmlformats.org/spreadsheetml/2006/main" count="556" uniqueCount="323">
  <si>
    <t xml:space="preserve">First </t>
  </si>
  <si>
    <t xml:space="preserve">Last </t>
  </si>
  <si>
    <t xml:space="preserve">Month </t>
  </si>
  <si>
    <t>Day</t>
  </si>
  <si>
    <t>Year</t>
  </si>
  <si>
    <t>First Init</t>
  </si>
  <si>
    <t>Last Init</t>
  </si>
  <si>
    <t>Name</t>
  </si>
  <si>
    <t>Month</t>
  </si>
  <si>
    <t>Birthday</t>
  </si>
  <si>
    <t xml:space="preserve">Day </t>
  </si>
  <si>
    <t>x</t>
  </si>
  <si>
    <t>I</t>
  </si>
  <si>
    <t xml:space="preserve"> </t>
  </si>
  <si>
    <t>Abby</t>
  </si>
  <si>
    <t>Serena</t>
  </si>
  <si>
    <t>Tiger</t>
  </si>
  <si>
    <t>Venus</t>
  </si>
  <si>
    <t>Kobe</t>
  </si>
  <si>
    <t>Bailey</t>
  </si>
  <si>
    <t>Charlene</t>
  </si>
  <si>
    <t>Dieter</t>
  </si>
  <si>
    <t>Mickey</t>
  </si>
  <si>
    <t>Estelle</t>
  </si>
  <si>
    <t>Seeking Lessons</t>
  </si>
  <si>
    <t>Trainers</t>
  </si>
  <si>
    <t>Value of Lesson</t>
  </si>
  <si>
    <t>Opportunity Cost of Lesson</t>
  </si>
  <si>
    <t>Median</t>
  </si>
  <si>
    <t>Maximum</t>
  </si>
  <si>
    <t>Minimum</t>
  </si>
  <si>
    <t>A</t>
  </si>
  <si>
    <t>price of lesson</t>
  </si>
  <si>
    <t xml:space="preserve">new price </t>
  </si>
  <si>
    <t xml:space="preserve">Suppose the price of a two hour lesson is as given below.  Which of the students are willing to purchase a lesson at this price?  Check all that apply. </t>
  </si>
  <si>
    <t xml:space="preserve">Now suppose the price of a two hour lesson is as given below.  Which of the students are willing to purchase a lesson at this lower price.  Check all that apply. </t>
  </si>
  <si>
    <t xml:space="preserve">The following students are seeking individualized athletic training.  A lesson is two hours per week.  The names of the students are listed along with how they value the lessons.  The value measure the maximum the student would be willing to pay for a two hour session.  </t>
  </si>
  <si>
    <t xml:space="preserve"> is </t>
  </si>
  <si>
    <t xml:space="preserve">The number of lessons demanded at price equal </t>
  </si>
  <si>
    <t>From thiis example we can generalize that as the price falls</t>
  </si>
  <si>
    <t>the quantity demanded falls.</t>
  </si>
  <si>
    <t>the quantity demanded stays unchanged.</t>
  </si>
  <si>
    <t>the quantity demanded rises.</t>
  </si>
  <si>
    <t>B</t>
  </si>
  <si>
    <t>Select Price</t>
  </si>
  <si>
    <t>Go To Graph</t>
  </si>
  <si>
    <t>Below is a graph which plots the students' valuations in descending order.  The valuations are cumulated to show the aggregate demand at a given price.</t>
  </si>
  <si>
    <t>Use the Select Price button to help visualize the answers to the following questions.</t>
  </si>
  <si>
    <t xml:space="preserve">Suppose the price is greater than </t>
  </si>
  <si>
    <t xml:space="preserve">but is less than </t>
  </si>
  <si>
    <t>Then the quantity demanded is</t>
  </si>
  <si>
    <t>Then the quantity demanded</t>
  </si>
  <si>
    <t>is</t>
  </si>
  <si>
    <t>To make the graph appear in the upper frame, click the Go to Graph link.</t>
  </si>
  <si>
    <t xml:space="preserve">Suppose the price is less than </t>
  </si>
  <si>
    <t xml:space="preserve">Then the quantity demanded </t>
  </si>
  <si>
    <t xml:space="preserve">is </t>
  </si>
  <si>
    <t xml:space="preserve">The step function in the graph is termed the Demand Curve.  Based on the shape of the curve in the graph we conclude </t>
  </si>
  <si>
    <t>the demand curve slopes down.</t>
  </si>
  <si>
    <t>the demand curve slopes up.</t>
  </si>
  <si>
    <t>Lesson Value</t>
  </si>
  <si>
    <t>Use this for Notes</t>
  </si>
  <si>
    <t>visualize the answers to the following questions.  You may have to click away from the button and back to initialize.</t>
  </si>
  <si>
    <t>Opportunity Cost</t>
  </si>
  <si>
    <t>The following students are seeking individualized athletic training.  A lesson is two hours per week.  The names of the students are listed along with how they value the lessons.  The value measures the maximum the student would be willing to pay for a two hour session.</t>
  </si>
  <si>
    <t>The following athletes are providing individualized athletic training.  A lesson is two hours per week.  The names of the athletes are listed along with their opportunity cost for providing the lesson.  The opportunity cost measures the maximum the athlete could earn doing something else.</t>
  </si>
  <si>
    <t xml:space="preserve">Suppose the price of a two hour lesson is as given below.  Which of the trainers are willing to offer a lesson at this price?  Check all that apply. </t>
  </si>
  <si>
    <t xml:space="preserve">Now suppose the price of a two hour lesson is as given below.  Which of the trainers are willing to offer a lesson at this lower price?  Check all that apply. </t>
  </si>
  <si>
    <t>the quantity supplied stays unchanged.</t>
  </si>
  <si>
    <t>the quantity supplied falls.</t>
  </si>
  <si>
    <t>the quantity supplied rises.</t>
  </si>
  <si>
    <t>Below is a graph which plots the trainers' opportunity costs in ascending order.  The opportunity costs are cumulated to show the aggregate supply at a given price.</t>
  </si>
  <si>
    <t>To make the graph appear in the upper frame, double click there.  Use the Select Price button to help</t>
  </si>
  <si>
    <t>Then the quantity supplied is</t>
  </si>
  <si>
    <t>Then the quantity supplied</t>
  </si>
  <si>
    <t xml:space="preserve">Then the quantity supplied </t>
  </si>
  <si>
    <t xml:space="preserve">The step function in the graph is termed the Supply Curve.  Based on the shape of the curve in the graph we conclude </t>
  </si>
  <si>
    <t>the supply curve slopes down.</t>
  </si>
  <si>
    <t>the supply curve slopes up.</t>
  </si>
  <si>
    <t xml:space="preserve">We envision that students and trainers pair up and then, if the student's value exceeds the trainer's opportunity cost, a lesson is given at a price that splits the difference between the value and the cost.  We wil consider a couple of ways for the group to pair up.  </t>
  </si>
  <si>
    <t>First, suppose the trainer with the lowest opportunity cost is paired with the student who has the lowest value greater than that cost.  Then the process repeats with the remaining trainers and students.  At each round there may be some students whose value is too low for them to profitably take a lesson.  These students are "out of the market."  The process ends either when all trainers have offered a lesson or when all remaining students are out of the market, in which case the remaining trainers are also out of the market.</t>
  </si>
  <si>
    <t>Trades</t>
  </si>
  <si>
    <t>Student</t>
  </si>
  <si>
    <t>Trainer</t>
  </si>
  <si>
    <t>Value</t>
  </si>
  <si>
    <t>Cost</t>
  </si>
  <si>
    <t>Price</t>
  </si>
  <si>
    <t>Out of the Market</t>
  </si>
  <si>
    <t>Select</t>
  </si>
  <si>
    <t xml:space="preserve"> trade</t>
  </si>
  <si>
    <t>Yes</t>
  </si>
  <si>
    <t>No</t>
  </si>
  <si>
    <t>When the matching has been done correctly, the results are inicated in the table and graph immediately below.</t>
  </si>
  <si>
    <t>It depends</t>
  </si>
  <si>
    <t>prevailed generally, the price would be stable in the sense that no pair consisting of one</t>
  </si>
  <si>
    <t>student and one trainer could find a different price for a lesson that they'd both prefer</t>
  </si>
  <si>
    <t>compared to the situation at the generaly prevailing price.</t>
  </si>
  <si>
    <t>This is what is meant by the expression "supply equals demand" or more formally "the</t>
  </si>
  <si>
    <t xml:space="preserve">market is in competitive equilibrium."  There is a prevailing price that is stable.  One might  </t>
  </si>
  <si>
    <t>be dismayed in this particular example that there are many possible such competitive</t>
  </si>
  <si>
    <t>however, is an artifact of our assumptions that we only have 5 buyers and 5 sellers and</t>
  </si>
  <si>
    <t>that each trades only one whole unit, not fractions.  The next worksheet will generalize the</t>
  </si>
  <si>
    <t>approach and the indeterminacy of the competitive equilibrium price will disappear.</t>
  </si>
  <si>
    <t>Competitive markets are characterized by lots of buyers and sellers.  But there is more to it than that.  No one buyer or seller can have a significant influence on the market as a whole.  This happens when the volume of trade for any one individual is small in comparison to the volume of trade for the overall market.</t>
  </si>
  <si>
    <t>When there are lots of people in the market, trade can occur without the buyer knowing the seller and vice versa.  We say that trade is anonymous.  Competitive markets are characterized by anonymous trade.</t>
  </si>
  <si>
    <t>We now consider making our economy bigger by adding additional buyers and sellers.  We don't do this in a haphazard manner.  Instead we do this in a conscious way to "fill in the gaps" in value on the demand side and in opportunity cost on the supply side.  In other words, we bring in new traders who are similar but not identical to the ones who were already in the economy.  You can see the effect by clicking the arrow button located on the right side of the graph above. Note that each horiztonal step is one unit, irrespective of the scale.</t>
  </si>
  <si>
    <t xml:space="preserve">The </t>
  </si>
  <si>
    <t>marginal</t>
  </si>
  <si>
    <t xml:space="preserve">buyers are the buyer with the lowest valuation who makes a </t>
  </si>
  <si>
    <t>purchase in the competitive equilibrium and the buyer with the highest valuation who is</t>
  </si>
  <si>
    <t>while the other buyers who are out of the market are termed</t>
  </si>
  <si>
    <t>extramarginal.</t>
  </si>
  <si>
    <t>In an analogous fashion one can define</t>
  </si>
  <si>
    <t>marginal, inframarginal, and extramarginal</t>
  </si>
  <si>
    <t>definitely in the market, and those that are definitely out of the market.</t>
  </si>
  <si>
    <t>do nothing</t>
  </si>
  <si>
    <t>move the values of the marginal buyers further apart</t>
  </si>
  <si>
    <t>move the values of the marginal buyers closer together</t>
  </si>
  <si>
    <t>To assist in making comparisons it is helpful to divide the traders into three categories.</t>
  </si>
  <si>
    <t>The effect of increasing the population size by filling in the gaps is to :</t>
  </si>
  <si>
    <t>create some inframarginal buyers with value near the the value of the marginal buyer</t>
  </si>
  <si>
    <t>create some extramarginal buyers with value near the the value of the marginal buyer</t>
  </si>
  <si>
    <t>push the values of the inframarginal buyers further away the the values of the marginal buyers</t>
  </si>
  <si>
    <t>Consequently, the effect of increasing population size by filling in the gaps on</t>
  </si>
  <si>
    <t>the range of prices that can serve as the competitive equilibrium price is to</t>
  </si>
  <si>
    <t>do nothing.</t>
  </si>
  <si>
    <t>widen the range.</t>
  </si>
  <si>
    <t>narrow the range.</t>
  </si>
  <si>
    <t>Suppose that instead of increasing population size by filling in gaps that we made the economy bigger by making exact clones of the original buyers and sellers, making the same number of clones of each type of buyer and each type of seller.  In this case, the effect of increasing population size on the range of prices that can serve as the competitive equilibrium price is to</t>
  </si>
  <si>
    <t>Regarding the significance of the original buyers and sellers in the overall economy</t>
  </si>
  <si>
    <t xml:space="preserve">sellers who are respectively those sellers on the boundary of trade, those that are </t>
  </si>
  <si>
    <t>That is correct.  The graph looks identical in shape to the original population graph, except for the size of the economy, which has gotten larger.</t>
  </si>
  <si>
    <t>Looks pretty much like the curves for the original economy.</t>
  </si>
  <si>
    <t>Demand continues to be a downward staircase and supply an upward staircase.</t>
  </si>
  <si>
    <t>They appear pretty much as in the original economy.</t>
  </si>
  <si>
    <t>They get smaller relative to the whole economy but remain visible.</t>
  </si>
  <si>
    <t>They vanish into the crowd.</t>
  </si>
  <si>
    <t>Demand appears to slope down continuosly and supply appears to slope up continuously.</t>
  </si>
  <si>
    <t>Regarding the indeterminacy of the competitive equilibrium price</t>
  </si>
  <si>
    <t>There appears to be a single equilibrium price.</t>
  </si>
  <si>
    <t>There remains a visible range of indeterminacy.</t>
  </si>
  <si>
    <t>The range of indeterminacy is identical to that of the original economy.</t>
  </si>
  <si>
    <t>inframarginal</t>
  </si>
  <si>
    <t>out of the market.  Other buyers who are in the market are termed</t>
  </si>
  <si>
    <t>Use this for notes</t>
  </si>
  <si>
    <t>Round</t>
  </si>
  <si>
    <t xml:space="preserve">Supply </t>
  </si>
  <si>
    <t>Demand</t>
  </si>
  <si>
    <t xml:space="preserve">Round </t>
  </si>
  <si>
    <t>Macro</t>
  </si>
  <si>
    <t xml:space="preserve">Set Price </t>
  </si>
  <si>
    <t>Demand is excessively high.</t>
  </si>
  <si>
    <t>Demand exceeds Supply.</t>
  </si>
  <si>
    <t>Reduces the Excess Supply.</t>
  </si>
  <si>
    <t>Increases the Excess Supply.</t>
  </si>
  <si>
    <t xml:space="preserve">is between the two prices. </t>
  </si>
  <si>
    <t>is below the lower price.</t>
  </si>
  <si>
    <t>is above the higher price.</t>
  </si>
  <si>
    <t>both demand and supply slope up.</t>
  </si>
  <si>
    <t>both demand and supply slope down.</t>
  </si>
  <si>
    <t>demand slopes up and supply slopes down.</t>
  </si>
  <si>
    <t>demand slopes down and supply slopes up.</t>
  </si>
  <si>
    <t>Workbook</t>
  </si>
  <si>
    <t>Sheet</t>
  </si>
  <si>
    <t>Question</t>
  </si>
  <si>
    <t>Response</t>
  </si>
  <si>
    <t>Login</t>
  </si>
  <si>
    <t>Last</t>
  </si>
  <si>
    <t>SupplyandDemand</t>
  </si>
  <si>
    <t>ConstructingDemand</t>
  </si>
  <si>
    <t>ConsructingSupply</t>
  </si>
  <si>
    <t>Trade</t>
  </si>
  <si>
    <t>Scale</t>
  </si>
  <si>
    <t>MarketMaker</t>
  </si>
  <si>
    <t>ConstructingDemandSols!J37</t>
  </si>
  <si>
    <t>ConstructingDemandSols!J38</t>
  </si>
  <si>
    <t>ConstructingDemandSols!J39</t>
  </si>
  <si>
    <t>ConstructingDemandSols!J40</t>
  </si>
  <si>
    <t>ConstructingDemandSols!G42</t>
  </si>
  <si>
    <t>ConstructingDemandSols!$H$43</t>
  </si>
  <si>
    <t>ConstructingDemandSols!$H$50</t>
  </si>
  <si>
    <t>ConstructingDemandSols!$G$76</t>
  </si>
  <si>
    <t>ConstructingDemandSols!$G$80</t>
  </si>
  <si>
    <t>ConstructingDemandSols!$G$84</t>
  </si>
  <si>
    <t>ConstructingDemandSols!$G$88</t>
  </si>
  <si>
    <t>ConstructingDemandSols!J22</t>
  </si>
  <si>
    <t>ConstructingDemandSols!J21</t>
  </si>
  <si>
    <t>ConstructingDemandSols!J23</t>
  </si>
  <si>
    <t>ConstructingDemandSols!J24</t>
  </si>
  <si>
    <t>ConstructingDemandSols!J25</t>
  </si>
  <si>
    <t>ConstructingDemandSols!J41</t>
  </si>
  <si>
    <t>ConstructingDemandSols!G26</t>
  </si>
  <si>
    <t>ConstructingDemandSols!$H$27</t>
  </si>
  <si>
    <t>Only follow the link below</t>
  </si>
  <si>
    <t>when you reach part B</t>
  </si>
  <si>
    <t>CSSols!J21</t>
  </si>
  <si>
    <t>CSSols!J22</t>
  </si>
  <si>
    <t>CSSols!J23</t>
  </si>
  <si>
    <t>CSSols!J24</t>
  </si>
  <si>
    <t>CSSols!J25</t>
  </si>
  <si>
    <t>CSSols!G26</t>
  </si>
  <si>
    <t>CSSols!$H$27</t>
  </si>
  <si>
    <t>CSSols!J37</t>
  </si>
  <si>
    <t>CSSols!J38</t>
  </si>
  <si>
    <t>CSSols!J39</t>
  </si>
  <si>
    <t>CSSols!J40</t>
  </si>
  <si>
    <t>CSSols!J41</t>
  </si>
  <si>
    <t>CSSols!G42</t>
  </si>
  <si>
    <t>CSSols!$H$43</t>
  </si>
  <si>
    <t>CSSols!$G$76</t>
  </si>
  <si>
    <t>CSSols!$G$80</t>
  </si>
  <si>
    <t>CSSols!$G$84</t>
  </si>
  <si>
    <t>CSSols!$G$88</t>
  </si>
  <si>
    <t>CSSols!$H$49</t>
  </si>
  <si>
    <t>TradeSols!F21</t>
  </si>
  <si>
    <t>TradeSols!F22</t>
  </si>
  <si>
    <t>TradeSols!F23</t>
  </si>
  <si>
    <t>TradeSols!F24</t>
  </si>
  <si>
    <t>TradeSols!F25</t>
  </si>
  <si>
    <t>TradeSols!H21</t>
  </si>
  <si>
    <t>TradeSols!H22</t>
  </si>
  <si>
    <t>TradeSols!H23</t>
  </si>
  <si>
    <t>TradeSols!H24</t>
  </si>
  <si>
    <t>TradeSols!H25</t>
  </si>
  <si>
    <t>TradeSols!$G$45</t>
  </si>
  <si>
    <t>TradeSols!$G$51</t>
  </si>
  <si>
    <t>TradeSols!F64</t>
  </si>
  <si>
    <t>TradeSols!F65</t>
  </si>
  <si>
    <t>TradeSols!F66</t>
  </si>
  <si>
    <t>TradeSols!F67</t>
  </si>
  <si>
    <t>TradeSols!F68</t>
  </si>
  <si>
    <t>TradeSols!H64</t>
  </si>
  <si>
    <t>TradeSols!H65</t>
  </si>
  <si>
    <t>TradeSols!H66</t>
  </si>
  <si>
    <t>TradeSols!H67</t>
  </si>
  <si>
    <t>TradeSols!H68</t>
  </si>
  <si>
    <t>TradeSols!$H$92</t>
  </si>
  <si>
    <t>TradeSols!$H$95</t>
  </si>
  <si>
    <t>TradeSols!$H$101</t>
  </si>
  <si>
    <t>ScalSols!$J$36</t>
  </si>
  <si>
    <t>ScalSols!$J$40</t>
  </si>
  <si>
    <t>ScalSols!$J$44</t>
  </si>
  <si>
    <t>ScalSols!$J$51</t>
  </si>
  <si>
    <t>ScalSols!$J$59</t>
  </si>
  <si>
    <t>ScalSols!$J$70</t>
  </si>
  <si>
    <t>ScalSols!$J$75</t>
  </si>
  <si>
    <t>ScalSols!$J$80</t>
  </si>
  <si>
    <t>MarketMaker E13 and G13</t>
  </si>
  <si>
    <t>MarketMaker E14 and G14</t>
  </si>
  <si>
    <t>MarketMaker E15 and G15</t>
  </si>
  <si>
    <t>MarketMaker E16 and G16</t>
  </si>
  <si>
    <t>MarketMaker E17 and G17</t>
  </si>
  <si>
    <t>MarketMaker E18 and G18</t>
  </si>
  <si>
    <t>MarketMaker E19 and G19</t>
  </si>
  <si>
    <t>MarketMaker E20 and G20</t>
  </si>
  <si>
    <t>MarketMaker E21 and G21</t>
  </si>
  <si>
    <t>MarketMaker E22 and G22</t>
  </si>
  <si>
    <t>MMSols!$F$32</t>
  </si>
  <si>
    <t>MMSols!$F$37</t>
  </si>
  <si>
    <t>MMSols!$F$42</t>
  </si>
  <si>
    <t>MMSols!$F$47</t>
  </si>
  <si>
    <t xml:space="preserve"> Name</t>
  </si>
  <si>
    <t>Date of Birth</t>
  </si>
  <si>
    <t>Students</t>
  </si>
  <si>
    <t xml:space="preserve"> is</t>
  </si>
  <si>
    <t>Indicate all students who</t>
  </si>
  <si>
    <t xml:space="preserve">Use this </t>
  </si>
  <si>
    <t>for notes</t>
  </si>
  <si>
    <t>Regarding the appearance of the demand curve and the supply curve</t>
  </si>
  <si>
    <t>The number of lessons supplied at price of</t>
  </si>
  <si>
    <t xml:space="preserve">The number of lessons supplied at price of </t>
  </si>
  <si>
    <t>NetID</t>
  </si>
  <si>
    <t>Please fill in your First and Last Name, your NetID, and select your Date of Birth.</t>
  </si>
  <si>
    <t>Hit the Tab key after each Name entry to proceed.</t>
  </si>
  <si>
    <t>NetID Init</t>
  </si>
  <si>
    <t>BIO Info</t>
  </si>
  <si>
    <t>First</t>
  </si>
  <si>
    <t>Supply</t>
  </si>
  <si>
    <t>Directions:  Please follow these directions precisely.  This will ensure there are no issues with your submission of work later.  It is assumed here</t>
  </si>
  <si>
    <t>that you've completed all the worksheets and gotten a Correct answer on each question.  The submission is to give you a participation credit for doing</t>
  </si>
  <si>
    <t xml:space="preserve">the work.  There is no partial credit for getting only some of the questions correct.  If you have trouble with doing some of the questions, post an </t>
  </si>
  <si>
    <t xml:space="preserve">inquiry to the online discussion board or have a chat in office hours, to get some help.  </t>
  </si>
  <si>
    <t>Market Maker</t>
  </si>
  <si>
    <t xml:space="preserve">In the File name box, type your-netid_HW1, where you substitute your actual NetID where it says </t>
  </si>
  <si>
    <t>Go to the File menu and choose Save As.  In the Save As Type pull-down menu choose CSV (Comma delimited).</t>
  </si>
  <si>
    <t xml:space="preserve">your-netid.  You will get a dialog box informing you it can only save the Active Sheet.  Click Ok. </t>
  </si>
  <si>
    <t xml:space="preserve">Submit the csv file you just saved in Moodle.  </t>
  </si>
  <si>
    <t>Directions:  If you are using the worksheet for practice, fill in login information with any values you want, but don't leave blank.  The information is used to fix parameter values on the remaining worksheets. If  you plan to submit for course credit, please use your real name and NetID.  The birthday information is for parameter values only and will not be collected in your submission.   There are directions for submission on the Submission worksheet.  You must submit a completed version to get course credit.</t>
  </si>
  <si>
    <t>yes</t>
  </si>
  <si>
    <t>no</t>
  </si>
  <si>
    <t>maybe</t>
  </si>
  <si>
    <t>ü</t>
  </si>
  <si>
    <t>Evaluate ???</t>
  </si>
  <si>
    <t xml:space="preserve">Suppose the price of a two hour lesson is as given below.  Which of the students are willing to purchase a lesson at this price?  Mark all that apply. </t>
  </si>
  <si>
    <t xml:space="preserve">Instructions  </t>
  </si>
  <si>
    <t xml:space="preserve">Price of lesson = </t>
  </si>
  <si>
    <t xml:space="preserve">Match the trainers to the students by writing the initial of the </t>
  </si>
  <si>
    <t xml:space="preserve">student (A,B,C,D, or E)next to the appropriate trainer's name. </t>
  </si>
  <si>
    <t>If the trainer is out of the market, write the letter O.</t>
  </si>
  <si>
    <t>are out of the market by</t>
  </si>
  <si>
    <t xml:space="preserve">writing the letter O. </t>
  </si>
  <si>
    <t>Now consider another matching scheme this is sometimes termed 'efficient matching.' Suppose the trainer with the lowest opportunity cost is paired with the student who has the highest value.  Then the process repeats with the remaining trainers and students.  At each round there will either be at least one student and one trainer who can be paired or all the remaining students and trainers are out of the market.</t>
  </si>
  <si>
    <t>Match the trainers to the students by writing the initial of the</t>
  </si>
  <si>
    <t>student (A,B,C,D, or E) next to the appropriate trainer's name.</t>
  </si>
  <si>
    <t>If the trainer is our of the market, write the letter O.</t>
  </si>
  <si>
    <t>In most of the rest of the course we'll assume that the nature of the product or service</t>
  </si>
  <si>
    <t>is such that the buyers don't care about who the particular seller is and indeed that the</t>
  </si>
  <si>
    <t>buyers view each unit of the product (or service) as equivalent to any other unit.</t>
  </si>
  <si>
    <t>We say the product is homogeneous.</t>
  </si>
  <si>
    <t>When the matching has been done correctly, the results are indicated in the table and graph immediately below.</t>
  </si>
  <si>
    <t>push the values of the extramarginal buyers further away the the values of the marginal buyers</t>
  </si>
  <si>
    <t>Incorrect.  Consider how the graph would look.  How would it differ from the graph with the original population only?</t>
  </si>
  <si>
    <t>Now return to the case where population is increased by filling in the gaps but instead of a five-fold or ten-fold increase in population we consider a million-fold increase in population.  Then the effects are:</t>
  </si>
  <si>
    <t>Status</t>
  </si>
  <si>
    <t>Advance</t>
  </si>
  <si>
    <t>On this concluding sheet, we consider the issue of finding the competitive equilibrium price.  To do this, we let you play the role of "Market Maker."  You get to announce the price in a round.  Then advance the round counter by 1, after which you observe the quantity supplied and demanded at that price.  These are recorded and plotted.  Based on your observations, you can choose another price and repeat the process.  Your goal is to continue in this manner till you find the equilibrium price.  You have 10 rounds of price setting to achieve your goal.  If you get stuck, simply back track on the round counter and try again.  Once you've found the equilibrium price, you're asked some questions to help you reflect on what you've just learned.</t>
  </si>
  <si>
    <t>From this example we can generalize that as the price falls</t>
  </si>
  <si>
    <t>Instructions</t>
  </si>
  <si>
    <t xml:space="preserve">Suppose the price of a two hour lesson is as given below.  Which of the students are </t>
  </si>
  <si>
    <t xml:space="preserve">willing to purchase a lesson at this price?  Mark all that apply. </t>
  </si>
  <si>
    <t>Price of a lesson =</t>
  </si>
  <si>
    <t>Evaluate?</t>
  </si>
  <si>
    <t>Building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</si>
</sst>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
    <numFmt numFmtId="165" formatCode="0;\-0;;@"/>
    <numFmt numFmtId="166" formatCode="\o;\-0;;@"/>
    <numFmt numFmtId="167" formatCode="\-;\-0;;@"/>
    <numFmt numFmtId="168" formatCode="0.0"/>
  </numFmts>
  <fonts count="40" x14ac:knownFonts="1">
    <font>
      <sz val="10"/>
      <name val="Arial"/>
    </font>
    <font>
      <sz val="10"/>
      <name val="Arial"/>
      <family val="2"/>
    </font>
    <font>
      <b/>
      <sz val="10"/>
      <name val="Arial"/>
      <family val="2"/>
    </font>
    <font>
      <sz val="12"/>
      <name val="Monotype Sorts"/>
      <charset val="2"/>
    </font>
    <font>
      <b/>
      <sz val="12"/>
      <color indexed="10"/>
      <name val="Arial"/>
      <family val="2"/>
    </font>
    <font>
      <b/>
      <sz val="24"/>
      <color indexed="51"/>
      <name val="Monotype Sorts"/>
      <charset val="2"/>
    </font>
    <font>
      <sz val="18"/>
      <color indexed="51"/>
      <name val="Arial"/>
      <family val="2"/>
    </font>
    <font>
      <u/>
      <sz val="10"/>
      <color indexed="12"/>
      <name val="Arial"/>
      <family val="2"/>
    </font>
    <font>
      <sz val="8"/>
      <name val="Arial"/>
      <family val="2"/>
    </font>
    <font>
      <sz val="10"/>
      <name val="Arial"/>
      <family val="2"/>
    </font>
    <font>
      <b/>
      <sz val="10"/>
      <color indexed="20"/>
      <name val="Arial"/>
      <family val="2"/>
    </font>
    <font>
      <b/>
      <sz val="12"/>
      <color indexed="17"/>
      <name val="Arial"/>
      <family val="2"/>
    </font>
    <font>
      <b/>
      <sz val="10"/>
      <color indexed="17"/>
      <name val="Arial"/>
      <family val="2"/>
    </font>
    <font>
      <b/>
      <sz val="12"/>
      <color indexed="12"/>
      <name val="Arial"/>
      <family val="2"/>
    </font>
    <font>
      <b/>
      <sz val="10"/>
      <name val="Verdana"/>
      <family val="2"/>
    </font>
    <font>
      <sz val="10"/>
      <name val="Verdana"/>
      <family val="2"/>
    </font>
    <font>
      <sz val="10"/>
      <color indexed="12"/>
      <name val="Verdana"/>
      <family val="2"/>
    </font>
    <font>
      <b/>
      <sz val="12"/>
      <color indexed="17"/>
      <name val="Verdana"/>
      <family val="2"/>
    </font>
    <font>
      <u/>
      <sz val="10"/>
      <color indexed="12"/>
      <name val="Verdana"/>
      <family val="2"/>
    </font>
    <font>
      <b/>
      <sz val="10"/>
      <color indexed="20"/>
      <name val="Verdana"/>
      <family val="2"/>
    </font>
    <font>
      <b/>
      <sz val="10"/>
      <color indexed="20"/>
      <name val="Script"/>
      <family val="4"/>
      <charset val="255"/>
    </font>
    <font>
      <sz val="10"/>
      <name val="Script"/>
      <family val="4"/>
      <charset val="255"/>
    </font>
    <font>
      <sz val="10"/>
      <color indexed="9"/>
      <name val="Verdana"/>
      <family val="2"/>
    </font>
    <font>
      <sz val="10"/>
      <color indexed="26"/>
      <name val="Verdana"/>
      <family val="2"/>
    </font>
    <font>
      <b/>
      <sz val="10"/>
      <color indexed="17"/>
      <name val="Verdana"/>
      <family val="2"/>
    </font>
    <font>
      <i/>
      <sz val="10"/>
      <color indexed="10"/>
      <name val="Verdana"/>
      <family val="2"/>
    </font>
    <font>
      <i/>
      <sz val="10"/>
      <name val="Verdana"/>
      <family val="2"/>
    </font>
    <font>
      <b/>
      <sz val="12"/>
      <color indexed="12"/>
      <name val="Verdana"/>
      <family val="2"/>
    </font>
    <font>
      <b/>
      <sz val="14"/>
      <color indexed="17"/>
      <name val="Verdana"/>
      <family val="2"/>
    </font>
    <font>
      <sz val="10"/>
      <color indexed="26"/>
      <name val="Arial"/>
      <family val="2"/>
    </font>
    <font>
      <sz val="10"/>
      <name val="Wingdings"/>
      <charset val="2"/>
    </font>
    <font>
      <sz val="12"/>
      <name val="Wingdings"/>
      <charset val="2"/>
    </font>
    <font>
      <sz val="12"/>
      <name val="Verdana"/>
      <family val="2"/>
    </font>
    <font>
      <sz val="9"/>
      <color indexed="81"/>
      <name val="Tahoma"/>
      <family val="2"/>
    </font>
    <font>
      <b/>
      <sz val="12"/>
      <color rgb="FF009242"/>
      <name val="Verdana"/>
      <family val="2"/>
    </font>
    <font>
      <b/>
      <sz val="10"/>
      <color theme="5" tint="-0.24994659260841701"/>
      <name val="Verdana"/>
      <family val="2"/>
    </font>
    <font>
      <b/>
      <sz val="10"/>
      <color rgb="FF009242"/>
      <name val="Verdana"/>
      <family val="2"/>
    </font>
    <font>
      <sz val="10"/>
      <color rgb="FF009242"/>
      <name val="Arial"/>
      <family val="2"/>
    </font>
    <font>
      <b/>
      <sz val="10"/>
      <color rgb="FFC00000"/>
      <name val="Arial"/>
      <family val="2"/>
    </font>
    <font>
      <b/>
      <sz val="9"/>
      <color indexed="81"/>
      <name val="Tahoma"/>
      <family val="2"/>
    </font>
  </fonts>
  <fills count="17">
    <fill>
      <patternFill patternType="none"/>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lightUp">
        <fgColor indexed="9"/>
        <bgColor indexed="9"/>
      </patternFill>
    </fill>
    <fill>
      <patternFill patternType="solid">
        <fgColor indexed="9"/>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4" tint="0.39994506668294322"/>
        <bgColor indexed="64"/>
      </patternFill>
    </fill>
    <fill>
      <patternFill patternType="solid">
        <fgColor theme="3" tint="0.59996337778862885"/>
        <bgColor indexed="64"/>
      </patternFill>
    </fill>
    <fill>
      <patternFill patternType="solid">
        <fgColor theme="0"/>
        <bgColor indexed="64"/>
      </patternFill>
    </fill>
    <fill>
      <patternFill patternType="lightUp">
        <fgColor indexed="9"/>
        <bgColor theme="0"/>
      </patternFill>
    </fill>
    <fill>
      <patternFill patternType="lightUp">
        <fgColor indexed="9"/>
        <bgColor theme="3" tint="0.79998168889431442"/>
      </patternFill>
    </fill>
    <fill>
      <patternFill patternType="solid">
        <fgColor theme="3" tint="0.79998168889431442"/>
        <bgColor indexed="64"/>
      </patternFill>
    </fill>
    <fill>
      <patternFill patternType="solid">
        <fgColor theme="9" tint="0.79998168889431442"/>
        <bgColor indexed="64"/>
      </patternFill>
    </fill>
  </fills>
  <borders count="15">
    <border>
      <left/>
      <right/>
      <top/>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right style="thick">
        <color auto="1"/>
      </right>
      <top/>
      <bottom/>
      <diagonal/>
    </border>
    <border>
      <left style="thick">
        <color auto="1"/>
      </left>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style="thick">
        <color auto="1"/>
      </bottom>
      <diagonal/>
    </border>
    <border>
      <left style="thick">
        <color auto="1"/>
      </left>
      <right/>
      <top/>
      <bottom style="thick">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238">
    <xf numFmtId="0" fontId="0" fillId="0" borderId="0" xfId="0"/>
    <xf numFmtId="0" fontId="2" fillId="0" borderId="0" xfId="0" applyFont="1"/>
    <xf numFmtId="0" fontId="0" fillId="0" borderId="1" xfId="0" applyBorder="1"/>
    <xf numFmtId="0" fontId="9" fillId="0" borderId="1" xfId="0" applyFont="1" applyBorder="1"/>
    <xf numFmtId="0" fontId="3" fillId="0" borderId="2" xfId="0" applyFont="1" applyFill="1" applyBorder="1"/>
    <xf numFmtId="0" fontId="4" fillId="0" borderId="3" xfId="0" applyFont="1" applyFill="1" applyBorder="1" applyAlignment="1">
      <alignment horizontal="center"/>
    </xf>
    <xf numFmtId="0" fontId="0" fillId="0" borderId="3" xfId="0" applyFill="1" applyBorder="1"/>
    <xf numFmtId="0" fontId="5" fillId="0" borderId="0" xfId="0" applyFont="1" applyFill="1" applyBorder="1" applyAlignment="1">
      <alignment horizontal="center"/>
    </xf>
    <xf numFmtId="0" fontId="6" fillId="0" borderId="0" xfId="0" applyFont="1" applyFill="1" applyBorder="1"/>
    <xf numFmtId="0" fontId="0" fillId="0" borderId="0" xfId="0" applyFill="1" applyBorder="1"/>
    <xf numFmtId="0" fontId="0" fillId="0" borderId="0" xfId="0" applyAlignment="1">
      <alignment horizontal="right"/>
    </xf>
    <xf numFmtId="0" fontId="0" fillId="2" borderId="0" xfId="0" applyFill="1"/>
    <xf numFmtId="164" fontId="0" fillId="0" borderId="0" xfId="0" applyNumberFormat="1"/>
    <xf numFmtId="0" fontId="2" fillId="0" borderId="0" xfId="0" applyFont="1" applyAlignment="1">
      <alignment horizontal="right"/>
    </xf>
    <xf numFmtId="0" fontId="0" fillId="0" borderId="0" xfId="0" applyAlignment="1">
      <alignment horizontal="left"/>
    </xf>
    <xf numFmtId="0" fontId="10" fillId="0" borderId="0" xfId="0" applyFont="1" applyAlignment="1">
      <alignment horizontal="center"/>
    </xf>
    <xf numFmtId="165" fontId="0" fillId="0" borderId="0" xfId="0" applyNumberFormat="1"/>
    <xf numFmtId="164" fontId="2" fillId="0" borderId="0" xfId="0" applyNumberFormat="1" applyFont="1"/>
    <xf numFmtId="164" fontId="0" fillId="0" borderId="0" xfId="0" applyNumberFormat="1" applyAlignment="1">
      <alignment horizontal="right"/>
    </xf>
    <xf numFmtId="0" fontId="7" fillId="0" borderId="0" xfId="1" applyAlignment="1" applyProtection="1"/>
    <xf numFmtId="0" fontId="9" fillId="0" borderId="0" xfId="0" applyFont="1"/>
    <xf numFmtId="165" fontId="0" fillId="0" borderId="0" xfId="0" applyNumberFormat="1" applyAlignment="1">
      <alignment horizontal="center"/>
    </xf>
    <xf numFmtId="165" fontId="0" fillId="0" borderId="0" xfId="0" applyNumberFormat="1" applyAlignment="1">
      <alignment horizontal="right"/>
    </xf>
    <xf numFmtId="0" fontId="0" fillId="3" borderId="0" xfId="0" applyFill="1"/>
    <xf numFmtId="0" fontId="0" fillId="0" borderId="0" xfId="0" applyFill="1"/>
    <xf numFmtId="0" fontId="0" fillId="4" borderId="0" xfId="0" applyFill="1"/>
    <xf numFmtId="164" fontId="0" fillId="0" borderId="0" xfId="0" applyNumberFormat="1" applyAlignment="1">
      <alignment horizontal="left"/>
    </xf>
    <xf numFmtId="0" fontId="0" fillId="0" borderId="0" xfId="0" applyProtection="1">
      <protection locked="0"/>
    </xf>
    <xf numFmtId="164" fontId="0" fillId="0" borderId="0" xfId="0" applyNumberFormat="1" applyProtection="1">
      <protection locked="0"/>
    </xf>
    <xf numFmtId="165" fontId="12" fillId="0" borderId="0" xfId="0" applyNumberFormat="1" applyFont="1"/>
    <xf numFmtId="0" fontId="13" fillId="0" borderId="0" xfId="0" applyFont="1"/>
    <xf numFmtId="0" fontId="2" fillId="0" borderId="0" xfId="0" applyFont="1" applyAlignment="1">
      <alignment horizontal="left"/>
    </xf>
    <xf numFmtId="0" fontId="0" fillId="5" borderId="0" xfId="0" applyFill="1"/>
    <xf numFmtId="0" fontId="0" fillId="6" borderId="0" xfId="0" applyFill="1"/>
    <xf numFmtId="164" fontId="0" fillId="6" borderId="0" xfId="0" applyNumberFormat="1" applyFill="1"/>
    <xf numFmtId="165" fontId="11" fillId="6" borderId="0" xfId="0" applyNumberFormat="1" applyFont="1" applyFill="1"/>
    <xf numFmtId="0" fontId="10" fillId="3" borderId="5" xfId="0" applyFont="1" applyFill="1" applyBorder="1" applyAlignment="1">
      <alignment horizontal="center"/>
    </xf>
    <xf numFmtId="0" fontId="0" fillId="3" borderId="6" xfId="0" applyFill="1" applyBorder="1"/>
    <xf numFmtId="0" fontId="14" fillId="6" borderId="0" xfId="0" applyFont="1" applyFill="1"/>
    <xf numFmtId="0" fontId="14" fillId="6" borderId="0" xfId="0" applyFont="1" applyFill="1" applyAlignment="1">
      <alignment horizontal="right"/>
    </xf>
    <xf numFmtId="0" fontId="15" fillId="6" borderId="0" xfId="0" applyFont="1" applyFill="1"/>
    <xf numFmtId="164" fontId="15" fillId="6" borderId="0" xfId="0" applyNumberFormat="1" applyFont="1" applyFill="1"/>
    <xf numFmtId="0" fontId="15" fillId="6" borderId="0" xfId="1" applyFont="1" applyFill="1" applyAlignment="1" applyProtection="1"/>
    <xf numFmtId="0" fontId="18" fillId="6" borderId="0" xfId="1" applyFont="1" applyFill="1" applyAlignment="1" applyProtection="1">
      <protection locked="0"/>
    </xf>
    <xf numFmtId="0" fontId="19" fillId="3" borderId="5" xfId="0" applyFont="1" applyFill="1" applyBorder="1" applyAlignment="1">
      <alignment horizontal="center"/>
    </xf>
    <xf numFmtId="0" fontId="15" fillId="3" borderId="6" xfId="0" applyFont="1" applyFill="1" applyBorder="1"/>
    <xf numFmtId="0" fontId="15" fillId="3" borderId="0" xfId="0" applyFont="1" applyFill="1"/>
    <xf numFmtId="0" fontId="15" fillId="0" borderId="0" xfId="0" applyFont="1"/>
    <xf numFmtId="0" fontId="15" fillId="6" borderId="0" xfId="0" applyFont="1" applyFill="1" applyAlignment="1">
      <alignment horizontal="left"/>
    </xf>
    <xf numFmtId="165" fontId="15" fillId="6" borderId="0" xfId="0" applyNumberFormat="1" applyFont="1" applyFill="1"/>
    <xf numFmtId="164" fontId="14" fillId="6" borderId="0" xfId="0" applyNumberFormat="1" applyFont="1" applyFill="1"/>
    <xf numFmtId="0" fontId="20" fillId="3" borderId="5" xfId="0" applyFont="1" applyFill="1" applyBorder="1" applyAlignment="1">
      <alignment horizontal="center"/>
    </xf>
    <xf numFmtId="0" fontId="21" fillId="6" borderId="0" xfId="0" applyFont="1" applyFill="1"/>
    <xf numFmtId="0" fontId="21" fillId="3" borderId="6" xfId="0" applyFont="1" applyFill="1" applyBorder="1"/>
    <xf numFmtId="0" fontId="21" fillId="3" borderId="0" xfId="0" applyFont="1" applyFill="1"/>
    <xf numFmtId="0" fontId="21" fillId="0" borderId="0" xfId="0" applyFont="1"/>
    <xf numFmtId="0" fontId="19" fillId="3" borderId="5" xfId="0" applyFont="1" applyFill="1" applyBorder="1" applyAlignment="1" applyProtection="1">
      <alignment horizontal="center"/>
      <protection locked="0"/>
    </xf>
    <xf numFmtId="165" fontId="15" fillId="6" borderId="0" xfId="0" applyNumberFormat="1" applyFont="1" applyFill="1" applyAlignment="1">
      <alignment horizontal="right"/>
    </xf>
    <xf numFmtId="0" fontId="14" fillId="6" borderId="0" xfId="0" applyFont="1" applyFill="1" applyAlignment="1">
      <alignment horizontal="left"/>
    </xf>
    <xf numFmtId="165" fontId="22" fillId="6" borderId="0" xfId="0" applyNumberFormat="1" applyFont="1" applyFill="1"/>
    <xf numFmtId="165" fontId="17" fillId="6" borderId="0" xfId="0" applyNumberFormat="1" applyFont="1" applyFill="1"/>
    <xf numFmtId="0" fontId="10" fillId="4" borderId="5" xfId="0" applyFont="1" applyFill="1" applyBorder="1" applyAlignment="1">
      <alignment horizontal="center"/>
    </xf>
    <xf numFmtId="0" fontId="10" fillId="4" borderId="5" xfId="0" applyFont="1" applyFill="1" applyBorder="1" applyAlignment="1" applyProtection="1">
      <alignment horizontal="center"/>
      <protection locked="0"/>
    </xf>
    <xf numFmtId="0" fontId="0" fillId="4" borderId="6" xfId="0" applyFill="1" applyBorder="1"/>
    <xf numFmtId="165" fontId="23" fillId="6" borderId="0" xfId="0" applyNumberFormat="1" applyFont="1" applyFill="1"/>
    <xf numFmtId="0" fontId="15" fillId="6" borderId="7" xfId="0" applyFont="1" applyFill="1" applyBorder="1"/>
    <xf numFmtId="164" fontId="15" fillId="6" borderId="8" xfId="0" applyNumberFormat="1" applyFont="1" applyFill="1" applyBorder="1" applyProtection="1">
      <protection locked="0"/>
    </xf>
    <xf numFmtId="0" fontId="15" fillId="6" borderId="0" xfId="0" applyFont="1" applyFill="1" applyProtection="1">
      <protection locked="0"/>
    </xf>
    <xf numFmtId="0" fontId="14" fillId="6" borderId="0" xfId="0" applyFont="1" applyFill="1" applyAlignment="1"/>
    <xf numFmtId="0" fontId="14" fillId="6" borderId="0" xfId="0" applyFont="1" applyFill="1" applyBorder="1"/>
    <xf numFmtId="164" fontId="15" fillId="6" borderId="0" xfId="0" applyNumberFormat="1" applyFont="1" applyFill="1" applyAlignment="1">
      <alignment horizontal="left"/>
    </xf>
    <xf numFmtId="0" fontId="15" fillId="6" borderId="0" xfId="0" applyFont="1" applyFill="1" applyAlignment="1">
      <alignment vertical="top" wrapText="1"/>
    </xf>
    <xf numFmtId="0" fontId="19" fillId="6" borderId="0" xfId="0" applyFont="1" applyFill="1" applyAlignment="1">
      <alignment horizontal="center"/>
    </xf>
    <xf numFmtId="0" fontId="19" fillId="6" borderId="0" xfId="0" applyFont="1" applyFill="1" applyAlignment="1" applyProtection="1">
      <alignment horizontal="center"/>
      <protection locked="0"/>
    </xf>
    <xf numFmtId="0" fontId="15" fillId="6" borderId="0" xfId="0" applyNumberFormat="1" applyFont="1" applyFill="1" applyAlignment="1">
      <alignment vertical="top" wrapText="1"/>
    </xf>
    <xf numFmtId="0" fontId="14" fillId="0" borderId="0" xfId="0" applyFont="1"/>
    <xf numFmtId="0" fontId="14" fillId="0" borderId="0" xfId="0" applyFont="1" applyAlignment="1">
      <alignment horizontal="right"/>
    </xf>
    <xf numFmtId="164" fontId="15" fillId="0" borderId="0" xfId="0" applyNumberFormat="1" applyFont="1"/>
    <xf numFmtId="0" fontId="15" fillId="0" borderId="8" xfId="0" applyFont="1" applyBorder="1"/>
    <xf numFmtId="164" fontId="15" fillId="0" borderId="8" xfId="0" applyNumberFormat="1" applyFont="1" applyBorder="1"/>
    <xf numFmtId="0" fontId="14" fillId="0" borderId="0" xfId="0" applyFont="1" applyAlignment="1"/>
    <xf numFmtId="0" fontId="14" fillId="0" borderId="0" xfId="0" applyFont="1" applyBorder="1"/>
    <xf numFmtId="165" fontId="15" fillId="0" borderId="0" xfId="0" applyNumberFormat="1" applyFont="1"/>
    <xf numFmtId="164" fontId="15" fillId="0" borderId="0" xfId="0" applyNumberFormat="1" applyFont="1" applyAlignment="1">
      <alignment horizontal="left"/>
    </xf>
    <xf numFmtId="165" fontId="15" fillId="0" borderId="0" xfId="0" applyNumberFormat="1" applyFont="1" applyAlignment="1">
      <alignment horizontal="left" wrapText="1"/>
    </xf>
    <xf numFmtId="0" fontId="15" fillId="0" borderId="0" xfId="0" applyFont="1" applyAlignment="1">
      <alignment vertical="top" wrapText="1"/>
    </xf>
    <xf numFmtId="0" fontId="19" fillId="0" borderId="0" xfId="0" applyFont="1" applyAlignment="1">
      <alignment horizontal="center"/>
    </xf>
    <xf numFmtId="0" fontId="15" fillId="0" borderId="0" xfId="0" applyNumberFormat="1" applyFont="1" applyAlignment="1">
      <alignment vertical="top" wrapText="1"/>
    </xf>
    <xf numFmtId="0" fontId="17" fillId="0" borderId="0" xfId="0" applyFont="1"/>
    <xf numFmtId="0" fontId="14" fillId="6" borderId="0" xfId="0" applyFont="1" applyFill="1" applyAlignment="1">
      <alignment wrapText="1"/>
    </xf>
    <xf numFmtId="0" fontId="14" fillId="6" borderId="5" xfId="0" applyFont="1" applyFill="1" applyBorder="1" applyAlignment="1">
      <alignment wrapText="1"/>
    </xf>
    <xf numFmtId="165" fontId="15" fillId="6" borderId="0" xfId="0" applyNumberFormat="1" applyFont="1" applyFill="1" applyBorder="1" applyAlignment="1">
      <alignment horizontal="left" wrapText="1"/>
    </xf>
    <xf numFmtId="0" fontId="26" fillId="0" borderId="0" xfId="0" applyFont="1"/>
    <xf numFmtId="165" fontId="25" fillId="0" borderId="0" xfId="0" applyNumberFormat="1" applyFont="1"/>
    <xf numFmtId="0" fontId="15" fillId="0" borderId="0" xfId="0" applyNumberFormat="1" applyFont="1"/>
    <xf numFmtId="0" fontId="26" fillId="6" borderId="0" xfId="0" applyFont="1" applyFill="1"/>
    <xf numFmtId="165" fontId="25" fillId="6" borderId="0" xfId="0" applyNumberFormat="1" applyFont="1" applyFill="1"/>
    <xf numFmtId="0" fontId="15" fillId="6" borderId="0" xfId="0" applyNumberFormat="1" applyFont="1" applyFill="1"/>
    <xf numFmtId="0" fontId="0" fillId="6" borderId="5" xfId="0" applyFill="1" applyBorder="1"/>
    <xf numFmtId="0" fontId="0" fillId="4" borderId="5" xfId="0" applyFill="1" applyBorder="1"/>
    <xf numFmtId="164" fontId="15" fillId="6" borderId="0" xfId="0" applyNumberFormat="1" applyFont="1" applyFill="1" applyProtection="1">
      <protection locked="0"/>
    </xf>
    <xf numFmtId="167" fontId="15" fillId="6" borderId="0" xfId="0" applyNumberFormat="1" applyFont="1" applyFill="1"/>
    <xf numFmtId="165" fontId="24" fillId="6" borderId="0" xfId="0" applyNumberFormat="1" applyFont="1" applyFill="1"/>
    <xf numFmtId="0" fontId="27" fillId="6" borderId="0" xfId="0" applyFont="1" applyFill="1"/>
    <xf numFmtId="165" fontId="17" fillId="5" borderId="0" xfId="0" applyNumberFormat="1" applyFont="1" applyFill="1" applyBorder="1" applyAlignment="1"/>
    <xf numFmtId="0" fontId="0" fillId="5" borderId="0" xfId="0" applyFill="1" applyBorder="1"/>
    <xf numFmtId="0" fontId="0" fillId="6" borderId="0" xfId="0" applyFill="1" applyBorder="1"/>
    <xf numFmtId="0" fontId="29" fillId="4" borderId="5" xfId="0" applyFont="1" applyFill="1" applyBorder="1" applyProtection="1">
      <protection locked="0"/>
    </xf>
    <xf numFmtId="0" fontId="0" fillId="7" borderId="0" xfId="0" applyFill="1"/>
    <xf numFmtId="0" fontId="0" fillId="8" borderId="0" xfId="0" applyFill="1"/>
    <xf numFmtId="0" fontId="1" fillId="0" borderId="0" xfId="0" applyFont="1"/>
    <xf numFmtId="0" fontId="0" fillId="9" borderId="0" xfId="0" applyFill="1"/>
    <xf numFmtId="164" fontId="15" fillId="9" borderId="0" xfId="0" applyNumberFormat="1" applyFont="1" applyFill="1"/>
    <xf numFmtId="0" fontId="15" fillId="9" borderId="0" xfId="0" applyFont="1" applyFill="1"/>
    <xf numFmtId="165" fontId="0" fillId="9" borderId="0" xfId="0" applyNumberFormat="1" applyFill="1"/>
    <xf numFmtId="0" fontId="31" fillId="0" borderId="0" xfId="0" applyFont="1"/>
    <xf numFmtId="164" fontId="30" fillId="0" borderId="0" xfId="0" applyNumberFormat="1" applyFont="1"/>
    <xf numFmtId="0" fontId="1" fillId="6" borderId="0" xfId="0" applyFont="1" applyFill="1" applyAlignment="1">
      <alignment horizontal="left"/>
    </xf>
    <xf numFmtId="0" fontId="32" fillId="6" borderId="0" xfId="0" applyFont="1" applyFill="1" applyAlignment="1">
      <alignment horizontal="center"/>
    </xf>
    <xf numFmtId="0" fontId="2" fillId="6" borderId="0" xfId="0" applyFont="1" applyFill="1" applyAlignment="1" applyProtection="1">
      <alignment horizontal="right"/>
      <protection locked="0"/>
    </xf>
    <xf numFmtId="0" fontId="15" fillId="6" borderId="0" xfId="0" applyFont="1" applyFill="1" applyAlignment="1">
      <alignment horizontal="right"/>
    </xf>
    <xf numFmtId="0" fontId="15" fillId="6" borderId="5" xfId="0" applyFont="1" applyFill="1" applyBorder="1" applyAlignment="1">
      <alignment horizontal="left" wrapText="1"/>
    </xf>
    <xf numFmtId="0" fontId="14" fillId="6" borderId="0" xfId="0" applyFont="1" applyFill="1" applyAlignment="1">
      <alignment horizontal="center"/>
    </xf>
    <xf numFmtId="0" fontId="15" fillId="6" borderId="0" xfId="0" applyFont="1" applyFill="1" applyAlignment="1">
      <alignment horizontal="center"/>
    </xf>
    <xf numFmtId="165" fontId="34" fillId="6" borderId="0" xfId="0" applyNumberFormat="1" applyFont="1" applyFill="1"/>
    <xf numFmtId="0" fontId="15" fillId="6" borderId="8" xfId="0" applyFont="1" applyFill="1" applyBorder="1"/>
    <xf numFmtId="0" fontId="1" fillId="0" borderId="0" xfId="0" applyNumberFormat="1" applyFont="1"/>
    <xf numFmtId="0" fontId="15" fillId="6" borderId="8" xfId="0" applyFont="1" applyFill="1" applyBorder="1" applyProtection="1">
      <protection locked="0"/>
    </xf>
    <xf numFmtId="0" fontId="15" fillId="6" borderId="0" xfId="0" applyFont="1" applyFill="1" applyProtection="1"/>
    <xf numFmtId="0" fontId="34" fillId="6" borderId="0" xfId="0" applyFont="1" applyFill="1"/>
    <xf numFmtId="0" fontId="0" fillId="10" borderId="5" xfId="0" applyFill="1" applyBorder="1"/>
    <xf numFmtId="0" fontId="0" fillId="11" borderId="6" xfId="0" applyFill="1" applyBorder="1"/>
    <xf numFmtId="0" fontId="38" fillId="10" borderId="5" xfId="0" applyFont="1" applyFill="1" applyBorder="1" applyAlignment="1">
      <alignment horizontal="center"/>
    </xf>
    <xf numFmtId="0" fontId="0" fillId="11" borderId="5" xfId="0" applyFill="1" applyBorder="1"/>
    <xf numFmtId="0" fontId="0" fillId="11" borderId="0" xfId="0" applyFill="1"/>
    <xf numFmtId="0" fontId="0" fillId="12" borderId="0" xfId="0" applyFill="1" applyAlignment="1">
      <alignment wrapText="1"/>
    </xf>
    <xf numFmtId="0" fontId="15" fillId="12" borderId="0" xfId="0" applyFont="1" applyFill="1"/>
    <xf numFmtId="0" fontId="14" fillId="12" borderId="0" xfId="0" applyFont="1" applyFill="1"/>
    <xf numFmtId="0" fontId="15" fillId="12" borderId="0" xfId="0" applyFont="1" applyFill="1" applyProtection="1">
      <protection locked="0"/>
    </xf>
    <xf numFmtId="0" fontId="14" fillId="12" borderId="0" xfId="0" applyFont="1" applyFill="1" applyAlignment="1">
      <alignment horizontal="right"/>
    </xf>
    <xf numFmtId="164" fontId="15" fillId="12" borderId="0" xfId="0" applyNumberFormat="1" applyFont="1" applyFill="1"/>
    <xf numFmtId="0" fontId="7" fillId="12" borderId="0" xfId="1" applyFill="1" applyAlignment="1" applyProtection="1">
      <protection locked="0"/>
    </xf>
    <xf numFmtId="0" fontId="15" fillId="12" borderId="0" xfId="0" applyFont="1" applyFill="1" applyAlignment="1">
      <alignment horizontal="right"/>
    </xf>
    <xf numFmtId="0" fontId="34" fillId="12" borderId="0" xfId="0" applyFont="1" applyFill="1"/>
    <xf numFmtId="0" fontId="0" fillId="12" borderId="5" xfId="0" applyFill="1" applyBorder="1"/>
    <xf numFmtId="0" fontId="15" fillId="14" borderId="6" xfId="0" applyFont="1" applyFill="1" applyBorder="1"/>
    <xf numFmtId="0" fontId="15" fillId="14" borderId="0" xfId="0" applyFont="1" applyFill="1"/>
    <xf numFmtId="0" fontId="14" fillId="14" borderId="0" xfId="0" applyFont="1" applyFill="1" applyBorder="1" applyAlignment="1">
      <alignment wrapText="1"/>
    </xf>
    <xf numFmtId="0" fontId="14" fillId="14" borderId="5" xfId="0" applyFont="1" applyFill="1" applyBorder="1" applyAlignment="1">
      <alignment wrapText="1"/>
    </xf>
    <xf numFmtId="0" fontId="14" fillId="14" borderId="6" xfId="0" applyFont="1" applyFill="1" applyBorder="1" applyAlignment="1">
      <alignment horizontal="center"/>
    </xf>
    <xf numFmtId="0" fontId="14" fillId="14" borderId="0" xfId="0" applyFont="1" applyFill="1" applyBorder="1" applyAlignment="1">
      <alignment horizontal="center"/>
    </xf>
    <xf numFmtId="0" fontId="14" fillId="14" borderId="5" xfId="0" applyFont="1" applyFill="1" applyBorder="1" applyAlignment="1">
      <alignment horizontal="center"/>
    </xf>
    <xf numFmtId="0" fontId="15" fillId="14" borderId="6" xfId="0" applyFont="1" applyFill="1" applyBorder="1" applyAlignment="1">
      <alignment horizontal="right"/>
    </xf>
    <xf numFmtId="0" fontId="15" fillId="14" borderId="0" xfId="0" applyFont="1" applyFill="1" applyAlignment="1">
      <alignment horizontal="right"/>
    </xf>
    <xf numFmtId="0" fontId="14" fillId="14" borderId="6" xfId="0" applyFont="1" applyFill="1" applyBorder="1" applyAlignment="1">
      <alignment wrapText="1"/>
    </xf>
    <xf numFmtId="0" fontId="15" fillId="14" borderId="0" xfId="0" applyFont="1" applyFill="1" applyBorder="1"/>
    <xf numFmtId="0" fontId="0" fillId="14" borderId="6" xfId="0" applyFill="1" applyBorder="1"/>
    <xf numFmtId="0" fontId="0" fillId="14" borderId="0" xfId="0" applyFill="1"/>
    <xf numFmtId="0" fontId="0" fillId="14" borderId="14" xfId="0" applyFill="1" applyBorder="1"/>
    <xf numFmtId="0" fontId="0" fillId="14" borderId="9" xfId="0" applyFill="1" applyBorder="1"/>
    <xf numFmtId="0" fontId="14" fillId="14" borderId="9" xfId="0" applyFont="1" applyFill="1" applyBorder="1" applyAlignment="1">
      <alignment wrapText="1"/>
    </xf>
    <xf numFmtId="0" fontId="14" fillId="14" borderId="13" xfId="0" applyFont="1" applyFill="1" applyBorder="1" applyAlignment="1">
      <alignment wrapText="1"/>
    </xf>
    <xf numFmtId="0" fontId="16" fillId="13" borderId="4" xfId="0" applyFont="1" applyFill="1" applyBorder="1" applyProtection="1">
      <protection locked="0"/>
    </xf>
    <xf numFmtId="0" fontId="15" fillId="6" borderId="0" xfId="0" applyFont="1" applyFill="1" applyAlignment="1">
      <alignment wrapText="1"/>
    </xf>
    <xf numFmtId="0" fontId="0" fillId="0" borderId="0" xfId="0" applyAlignment="1">
      <alignment wrapText="1"/>
    </xf>
    <xf numFmtId="0" fontId="0" fillId="12" borderId="0" xfId="0" applyFill="1" applyAlignment="1">
      <alignment wrapText="1"/>
    </xf>
    <xf numFmtId="165" fontId="15" fillId="6" borderId="0" xfId="0" applyNumberFormat="1" applyFont="1" applyFill="1" applyAlignment="1">
      <alignment horizontal="center"/>
    </xf>
    <xf numFmtId="0" fontId="10" fillId="15" borderId="5" xfId="0" applyFont="1" applyFill="1" applyBorder="1" applyAlignment="1">
      <alignment horizontal="center"/>
    </xf>
    <xf numFmtId="0" fontId="0" fillId="15" borderId="5" xfId="0" applyFill="1" applyBorder="1"/>
    <xf numFmtId="0" fontId="0" fillId="15" borderId="6" xfId="0" applyFill="1" applyBorder="1"/>
    <xf numFmtId="0" fontId="0" fillId="15" borderId="0" xfId="0" applyFill="1"/>
    <xf numFmtId="0" fontId="0" fillId="16" borderId="5" xfId="0" applyFill="1" applyBorder="1"/>
    <xf numFmtId="0" fontId="38" fillId="16" borderId="5" xfId="0" applyFont="1" applyFill="1" applyBorder="1" applyAlignment="1">
      <alignment horizontal="center"/>
    </xf>
    <xf numFmtId="0" fontId="0" fillId="16" borderId="0" xfId="0" applyFill="1"/>
    <xf numFmtId="0" fontId="0" fillId="16" borderId="6" xfId="0" applyFill="1" applyBorder="1"/>
    <xf numFmtId="0" fontId="15" fillId="16" borderId="0" xfId="0" applyFont="1" applyFill="1"/>
    <xf numFmtId="0" fontId="7" fillId="0" borderId="0" xfId="1" applyAlignment="1" applyProtection="1">
      <protection locked="0"/>
    </xf>
    <xf numFmtId="0" fontId="7" fillId="6" borderId="0" xfId="1" applyFill="1" applyAlignment="1" applyProtection="1">
      <protection locked="0"/>
    </xf>
    <xf numFmtId="0" fontId="0" fillId="10" borderId="5" xfId="0" applyFill="1" applyBorder="1" applyProtection="1">
      <protection locked="0"/>
    </xf>
    <xf numFmtId="0" fontId="15" fillId="12" borderId="0" xfId="0" applyFont="1" applyFill="1" applyProtection="1"/>
    <xf numFmtId="0" fontId="0" fillId="16" borderId="5" xfId="0" applyFill="1" applyBorder="1" applyProtection="1">
      <protection locked="0"/>
    </xf>
    <xf numFmtId="0" fontId="14" fillId="14" borderId="0" xfId="0" applyFont="1" applyFill="1" applyBorder="1" applyAlignment="1" applyProtection="1">
      <alignment horizontal="center"/>
      <protection locked="0"/>
    </xf>
    <xf numFmtId="0" fontId="14" fillId="14" borderId="10" xfId="0" applyFont="1" applyFill="1" applyBorder="1" applyAlignment="1">
      <alignment horizontal="center" wrapText="1"/>
    </xf>
    <xf numFmtId="0" fontId="14" fillId="14" borderId="11" xfId="0" applyFont="1" applyFill="1" applyBorder="1" applyAlignment="1">
      <alignment horizontal="center" wrapText="1"/>
    </xf>
    <xf numFmtId="0" fontId="14" fillId="14" borderId="12" xfId="0" applyFont="1" applyFill="1" applyBorder="1" applyAlignment="1">
      <alignment horizontal="center" wrapText="1"/>
    </xf>
    <xf numFmtId="0" fontId="14" fillId="14" borderId="6" xfId="0" applyFont="1" applyFill="1" applyBorder="1" applyAlignment="1">
      <alignment horizontal="center" wrapText="1"/>
    </xf>
    <xf numFmtId="0" fontId="14" fillId="14" borderId="0" xfId="0" applyFont="1" applyFill="1" applyBorder="1" applyAlignment="1">
      <alignment horizontal="center" wrapText="1"/>
    </xf>
    <xf numFmtId="0" fontId="14" fillId="14" borderId="5" xfId="0" applyFont="1" applyFill="1" applyBorder="1" applyAlignment="1">
      <alignment horizontal="center" wrapText="1"/>
    </xf>
    <xf numFmtId="0" fontId="28" fillId="5" borderId="0" xfId="0" applyFont="1" applyFill="1" applyAlignment="1">
      <alignment horizontal="center"/>
    </xf>
    <xf numFmtId="0" fontId="1" fillId="5" borderId="0" xfId="0" applyFont="1" applyFill="1" applyBorder="1" applyAlignment="1">
      <alignment horizontal="left" vertical="top" wrapText="1"/>
    </xf>
    <xf numFmtId="0" fontId="0" fillId="0" borderId="0" xfId="0" applyAlignment="1"/>
    <xf numFmtId="0" fontId="15" fillId="6" borderId="0" xfId="0" applyFont="1" applyFill="1" applyAlignment="1">
      <alignment horizontal="left" vertical="top" wrapText="1"/>
    </xf>
    <xf numFmtId="0" fontId="15" fillId="6" borderId="6" xfId="0" applyFont="1" applyFill="1" applyBorder="1" applyAlignment="1">
      <alignment horizontal="left" vertical="top" wrapText="1"/>
    </xf>
    <xf numFmtId="0" fontId="15" fillId="6" borderId="0" xfId="0" applyFont="1" applyFill="1" applyBorder="1" applyAlignment="1">
      <alignment horizontal="left" vertical="top" wrapText="1"/>
    </xf>
    <xf numFmtId="168" fontId="15" fillId="6" borderId="6" xfId="0" applyNumberFormat="1" applyFont="1" applyFill="1" applyBorder="1" applyAlignment="1">
      <alignment horizontal="right"/>
    </xf>
    <xf numFmtId="168" fontId="0" fillId="0" borderId="0" xfId="0" applyNumberFormat="1" applyAlignment="1">
      <alignment horizontal="right"/>
    </xf>
    <xf numFmtId="0" fontId="15" fillId="6" borderId="6" xfId="0" applyFont="1" applyFill="1" applyBorder="1" applyAlignment="1">
      <alignment horizontal="left" wrapText="1"/>
    </xf>
    <xf numFmtId="0" fontId="1" fillId="0" borderId="0" xfId="0" applyFont="1" applyAlignment="1">
      <alignment horizontal="left" wrapText="1"/>
    </xf>
    <xf numFmtId="0" fontId="1" fillId="0" borderId="6" xfId="0" applyFont="1" applyBorder="1" applyAlignment="1">
      <alignment horizontal="left" wrapText="1"/>
    </xf>
    <xf numFmtId="0" fontId="0" fillId="0" borderId="0" xfId="0" applyAlignment="1">
      <alignment horizontal="left" vertical="top" wrapText="1"/>
    </xf>
    <xf numFmtId="0" fontId="1" fillId="0" borderId="0" xfId="0" applyFont="1" applyAlignment="1">
      <alignment horizontal="left" vertical="top" wrapText="1"/>
    </xf>
    <xf numFmtId="0" fontId="15" fillId="12" borderId="0" xfId="0" applyFont="1" applyFill="1" applyBorder="1" applyAlignment="1">
      <alignment horizontal="left" vertical="top" wrapText="1"/>
    </xf>
    <xf numFmtId="0" fontId="0" fillId="12" borderId="0" xfId="0" applyFill="1" applyAlignment="1">
      <alignment wrapText="1"/>
    </xf>
    <xf numFmtId="0" fontId="15" fillId="12" borderId="6" xfId="0" applyFont="1" applyFill="1" applyBorder="1" applyAlignment="1">
      <alignment horizontal="left" vertical="top" wrapText="1"/>
    </xf>
    <xf numFmtId="0" fontId="0" fillId="12" borderId="0" xfId="0" applyFill="1" applyAlignment="1">
      <alignment horizontal="left" vertical="top" wrapText="1"/>
    </xf>
    <xf numFmtId="0" fontId="0" fillId="12" borderId="6" xfId="0" applyFill="1" applyBorder="1" applyAlignment="1">
      <alignment horizontal="left" vertical="top" wrapText="1"/>
    </xf>
    <xf numFmtId="0" fontId="0" fillId="0" borderId="6" xfId="0" applyBorder="1" applyAlignment="1">
      <alignment horizontal="left" vertical="top" wrapText="1"/>
    </xf>
    <xf numFmtId="0" fontId="14" fillId="6" borderId="0" xfId="0" applyFont="1" applyFill="1" applyAlignment="1">
      <alignment horizontal="center"/>
    </xf>
    <xf numFmtId="0" fontId="0" fillId="0" borderId="0" xfId="0" applyAlignment="1">
      <alignment horizontal="left" vertical="top"/>
    </xf>
    <xf numFmtId="0" fontId="0" fillId="0" borderId="6" xfId="0" applyBorder="1" applyAlignment="1">
      <alignment horizontal="left" vertical="top"/>
    </xf>
    <xf numFmtId="165" fontId="15" fillId="6" borderId="6" xfId="0" applyNumberFormat="1" applyFont="1" applyFill="1" applyBorder="1" applyAlignment="1">
      <alignment horizontal="left" vertical="top" wrapText="1"/>
    </xf>
    <xf numFmtId="165" fontId="15" fillId="6" borderId="0" xfId="0" applyNumberFormat="1" applyFont="1" applyFill="1" applyBorder="1" applyAlignment="1">
      <alignment horizontal="left" vertical="top" wrapText="1"/>
    </xf>
    <xf numFmtId="165" fontId="15" fillId="6" borderId="0" xfId="0" applyNumberFormat="1" applyFont="1" applyFill="1" applyAlignment="1">
      <alignment horizontal="left" vertical="top" wrapText="1"/>
    </xf>
    <xf numFmtId="0" fontId="0" fillId="0" borderId="0" xfId="0" applyAlignment="1">
      <alignment horizontal="left"/>
    </xf>
    <xf numFmtId="165" fontId="36" fillId="6" borderId="6" xfId="0" applyNumberFormat="1" applyFont="1" applyFill="1" applyBorder="1" applyAlignment="1">
      <alignment horizontal="left" vertical="top" wrapText="1"/>
    </xf>
    <xf numFmtId="0" fontId="0" fillId="0" borderId="0" xfId="0" applyAlignment="1">
      <alignment wrapText="1"/>
    </xf>
    <xf numFmtId="0" fontId="0" fillId="0" borderId="6" xfId="0" applyBorder="1" applyAlignment="1">
      <alignment wrapText="1"/>
    </xf>
    <xf numFmtId="0" fontId="15" fillId="6" borderId="0" xfId="0" applyFont="1" applyFill="1" applyAlignment="1">
      <alignment horizontal="center"/>
    </xf>
    <xf numFmtId="165" fontId="15" fillId="6" borderId="6" xfId="0" applyNumberFormat="1" applyFont="1" applyFill="1" applyBorder="1" applyAlignment="1">
      <alignment horizontal="left" wrapText="1"/>
    </xf>
    <xf numFmtId="165" fontId="15" fillId="6" borderId="0" xfId="0" applyNumberFormat="1" applyFont="1" applyFill="1" applyBorder="1" applyAlignment="1">
      <alignment horizontal="left" wrapText="1"/>
    </xf>
    <xf numFmtId="0" fontId="35" fillId="6" borderId="0" xfId="0" applyFont="1" applyFill="1" applyAlignment="1">
      <alignment horizontal="center"/>
    </xf>
    <xf numFmtId="0" fontId="37" fillId="0" borderId="0" xfId="0" applyFont="1" applyAlignment="1"/>
    <xf numFmtId="0" fontId="37" fillId="0" borderId="6" xfId="0" applyFont="1" applyBorder="1" applyAlignment="1"/>
    <xf numFmtId="166" fontId="36" fillId="6" borderId="6" xfId="0" applyNumberFormat="1" applyFont="1" applyFill="1" applyBorder="1" applyAlignment="1">
      <alignment horizontal="left" vertical="top" wrapText="1"/>
    </xf>
    <xf numFmtId="0" fontId="0" fillId="0" borderId="6" xfId="0" applyBorder="1" applyAlignment="1"/>
    <xf numFmtId="165" fontId="15" fillId="0" borderId="0" xfId="0" applyNumberFormat="1" applyFont="1" applyAlignment="1">
      <alignment horizontal="left" vertical="top" wrapText="1"/>
    </xf>
    <xf numFmtId="166" fontId="24" fillId="0" borderId="0" xfId="0" applyNumberFormat="1" applyFont="1" applyAlignment="1">
      <alignment horizontal="left" vertical="top" wrapText="1"/>
    </xf>
    <xf numFmtId="165" fontId="24" fillId="0" borderId="0" xfId="0" applyNumberFormat="1" applyFont="1" applyAlignment="1">
      <alignment horizontal="left" vertical="top" wrapText="1"/>
    </xf>
    <xf numFmtId="0" fontId="15" fillId="0" borderId="0" xfId="0" applyFont="1" applyAlignment="1">
      <alignment horizontal="left" vertical="top" wrapText="1"/>
    </xf>
    <xf numFmtId="0" fontId="0" fillId="0" borderId="0" xfId="0" applyAlignment="1">
      <alignment horizontal="center"/>
    </xf>
    <xf numFmtId="0" fontId="14" fillId="0" borderId="0" xfId="0" applyFont="1" applyAlignment="1">
      <alignment horizontal="center"/>
    </xf>
    <xf numFmtId="165" fontId="15" fillId="0" borderId="0" xfId="0" applyNumberFormat="1" applyFont="1" applyAlignment="1">
      <alignment horizontal="left" wrapText="1"/>
    </xf>
    <xf numFmtId="0" fontId="24" fillId="6" borderId="0" xfId="0" applyFont="1" applyFill="1" applyAlignment="1">
      <alignment horizontal="left" vertical="top" wrapText="1"/>
    </xf>
    <xf numFmtId="0" fontId="15" fillId="6" borderId="0" xfId="0" applyNumberFormat="1" applyFont="1" applyFill="1" applyAlignment="1">
      <alignment vertical="top" wrapText="1"/>
    </xf>
    <xf numFmtId="0" fontId="15" fillId="0" borderId="0" xfId="0" applyNumberFormat="1" applyFont="1" applyAlignment="1">
      <alignment horizontal="left" vertical="top" wrapText="1"/>
    </xf>
    <xf numFmtId="0" fontId="24" fillId="0" borderId="0" xfId="0" applyFont="1" applyAlignment="1">
      <alignment horizontal="left" vertical="top" wrapText="1"/>
    </xf>
    <xf numFmtId="0" fontId="14" fillId="6" borderId="0" xfId="0" applyFont="1" applyFill="1" applyAlignment="1" applyProtection="1">
      <alignment horizontal="center"/>
      <protection locked="0"/>
    </xf>
    <xf numFmtId="0" fontId="15" fillId="6" borderId="0" xfId="0" applyFont="1" applyFill="1" applyAlignment="1" applyProtection="1">
      <alignment horizontal="center"/>
    </xf>
  </cellXfs>
  <cellStyles count="2">
    <cellStyle name="Hyperlink" xfId="1" builtinId="8"/>
    <cellStyle name="Normal" xfId="0" builtinId="0"/>
  </cellStyles>
  <dxfs count="53">
    <dxf>
      <font>
        <b val="0"/>
        <i/>
        <condense val="0"/>
        <extend val="0"/>
        <color indexed="10"/>
      </font>
    </dxf>
    <dxf>
      <font>
        <b/>
        <i val="0"/>
        <condense val="0"/>
        <extend val="0"/>
        <color indexed="17"/>
      </font>
    </dxf>
    <dxf>
      <font>
        <condense val="0"/>
        <extend val="0"/>
        <color indexed="26"/>
      </font>
    </dxf>
    <dxf>
      <font>
        <b val="0"/>
        <i/>
        <condense val="0"/>
        <extend val="0"/>
        <color indexed="10"/>
      </font>
    </dxf>
    <dxf>
      <font>
        <condense val="0"/>
        <extend val="0"/>
        <color indexed="26"/>
      </font>
    </dxf>
    <dxf>
      <font>
        <b/>
        <i val="0"/>
        <condense val="0"/>
        <extend val="0"/>
        <color indexed="17"/>
      </font>
    </dxf>
    <dxf>
      <font>
        <b val="0"/>
        <i/>
        <condense val="0"/>
        <extend val="0"/>
        <color indexed="12"/>
      </font>
    </dxf>
    <dxf>
      <font>
        <b val="0"/>
        <i/>
        <condense val="0"/>
        <extend val="0"/>
        <color indexed="53"/>
      </font>
    </dxf>
    <dxf>
      <font>
        <condense val="0"/>
        <extend val="0"/>
        <color indexed="9"/>
      </font>
    </dxf>
    <dxf>
      <font>
        <color theme="0"/>
      </font>
    </dxf>
    <dxf>
      <font>
        <color theme="0"/>
      </font>
    </dxf>
    <dxf>
      <font>
        <b val="0"/>
        <i/>
        <color rgb="FF041ABC"/>
      </font>
    </dxf>
    <dxf>
      <font>
        <b val="0"/>
        <i/>
        <color theme="9" tint="-0.24994659260841701"/>
      </font>
    </dxf>
    <dxf>
      <font>
        <b/>
        <i val="0"/>
        <color rgb="FF009242"/>
      </font>
      <fill>
        <patternFill patternType="none">
          <bgColor auto="1"/>
        </patternFill>
      </fill>
    </dxf>
    <dxf>
      <font>
        <b/>
        <i val="0"/>
        <color rgb="FF009242"/>
      </font>
    </dxf>
    <dxf>
      <font>
        <b val="0"/>
        <i/>
        <color rgb="FFFF0000"/>
      </font>
    </dxf>
    <dxf>
      <font>
        <condense val="0"/>
        <extend val="0"/>
        <color indexed="31"/>
      </font>
    </dxf>
    <dxf>
      <font>
        <b/>
        <i val="0"/>
        <condense val="0"/>
        <extend val="0"/>
        <color indexed="17"/>
      </font>
    </dxf>
    <dxf>
      <font>
        <b val="0"/>
        <i/>
        <condense val="0"/>
        <extend val="0"/>
        <color indexed="10"/>
      </font>
    </dxf>
    <dxf>
      <font>
        <condense val="0"/>
        <extend val="0"/>
        <color indexed="31"/>
      </font>
    </dxf>
    <dxf>
      <font>
        <color theme="0"/>
      </font>
    </dxf>
    <dxf>
      <font>
        <b/>
        <i val="0"/>
        <color rgb="FF009242"/>
      </font>
    </dxf>
    <dxf>
      <font>
        <b val="0"/>
        <i/>
        <color rgb="FFFF0000"/>
      </font>
    </dxf>
    <dxf>
      <font>
        <b val="0"/>
        <i/>
        <color rgb="FFFF0000"/>
      </font>
    </dxf>
    <dxf>
      <font>
        <b val="0"/>
        <i/>
        <condense val="0"/>
        <extend val="0"/>
        <color indexed="10"/>
      </font>
    </dxf>
    <dxf>
      <font>
        <b val="0"/>
        <i/>
        <condense val="0"/>
        <extend val="0"/>
        <color indexed="10"/>
      </font>
    </dxf>
    <dxf>
      <font>
        <b val="0"/>
        <i/>
        <condense val="0"/>
        <extend val="0"/>
        <color indexed="10"/>
      </font>
    </dxf>
    <dxf>
      <font>
        <b val="0"/>
        <i/>
        <condense val="0"/>
        <extend val="0"/>
        <color indexed="10"/>
      </font>
    </dxf>
    <dxf>
      <font>
        <b val="0"/>
        <i/>
        <condense val="0"/>
        <extend val="0"/>
        <color indexed="10"/>
      </font>
    </dxf>
    <dxf>
      <font>
        <b val="0"/>
        <i/>
        <condense val="0"/>
        <extend val="0"/>
        <color indexed="10"/>
      </font>
    </dxf>
    <dxf>
      <font>
        <condense val="0"/>
        <extend val="0"/>
        <color indexed="9"/>
      </font>
    </dxf>
    <dxf>
      <font>
        <b/>
        <i val="0"/>
        <condense val="0"/>
        <extend val="0"/>
        <color indexed="17"/>
      </font>
    </dxf>
    <dxf>
      <font>
        <b val="0"/>
        <i/>
        <condense val="0"/>
        <extend val="0"/>
        <color indexed="10"/>
      </font>
    </dxf>
    <dxf>
      <font>
        <b val="0"/>
        <i/>
        <color rgb="FFFF0000"/>
      </font>
    </dxf>
    <dxf>
      <font>
        <color theme="0"/>
      </font>
    </dxf>
    <dxf>
      <font>
        <b/>
        <i val="0"/>
        <color rgb="FF009242"/>
      </font>
    </dxf>
    <dxf>
      <font>
        <b val="0"/>
        <i/>
        <color rgb="FFFF0000"/>
      </font>
    </dxf>
    <dxf>
      <font>
        <color theme="0"/>
      </font>
    </dxf>
    <dxf>
      <font>
        <b/>
        <i val="0"/>
        <color rgb="FF009242"/>
      </font>
    </dxf>
    <dxf>
      <font>
        <b val="0"/>
        <i/>
        <color rgb="FFFF0000"/>
      </font>
    </dxf>
    <dxf>
      <font>
        <b val="0"/>
        <i/>
        <color rgb="FFFF0000"/>
      </font>
    </dxf>
    <dxf>
      <font>
        <color theme="0"/>
      </font>
    </dxf>
    <dxf>
      <font>
        <b/>
        <i val="0"/>
        <color rgb="FF009242"/>
      </font>
    </dxf>
    <dxf>
      <font>
        <b val="0"/>
        <i/>
        <color rgb="FFFF0000"/>
      </font>
    </dxf>
    <dxf>
      <font>
        <color theme="0"/>
      </font>
    </dxf>
    <dxf>
      <font>
        <b/>
        <i val="0"/>
        <color rgb="FF009242"/>
      </font>
    </dxf>
    <dxf>
      <font>
        <color theme="0"/>
      </font>
    </dxf>
    <dxf>
      <font>
        <b val="0"/>
        <i/>
        <condense val="0"/>
        <extend val="0"/>
        <color indexed="10"/>
      </font>
    </dxf>
    <dxf>
      <font>
        <b/>
        <i val="0"/>
        <condense val="0"/>
        <extend val="0"/>
        <color indexed="17"/>
      </font>
    </dxf>
    <dxf>
      <font>
        <color theme="0" tint="-4.9989318521683403E-2"/>
      </font>
    </dxf>
    <dxf>
      <font>
        <b/>
        <i val="0"/>
        <color rgb="FF009242"/>
      </font>
    </dxf>
    <dxf>
      <font>
        <b val="0"/>
        <i/>
        <color rgb="FFFF0000"/>
      </font>
    </dxf>
    <dxf>
      <font>
        <color theme="0"/>
      </font>
    </dxf>
  </dxfs>
  <tableStyles count="0" defaultTableStyle="TableStyleMedium9" defaultPivotStyle="PivotStyleLight16"/>
  <colors>
    <mruColors>
      <color rgb="FF009242"/>
      <color rgb="FF041A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Valuations Above a Given Price</a:t>
            </a:r>
          </a:p>
        </c:rich>
      </c:tx>
      <c:layout>
        <c:manualLayout>
          <c:xMode val="edge"/>
          <c:yMode val="edge"/>
          <c:x val="0.282651610189012"/>
          <c:y val="0.0387598366333448"/>
        </c:manualLayout>
      </c:layout>
      <c:overlay val="0"/>
      <c:spPr>
        <a:noFill/>
        <a:ln w="25400">
          <a:noFill/>
        </a:ln>
      </c:spPr>
    </c:title>
    <c:autoTitleDeleted val="0"/>
    <c:plotArea>
      <c:layout>
        <c:manualLayout>
          <c:layoutTarget val="inner"/>
          <c:xMode val="edge"/>
          <c:yMode val="edge"/>
          <c:x val="0.183236216260463"/>
          <c:y val="0.279070823760083"/>
          <c:w val="0.551657970230968"/>
          <c:h val="0.515505827223486"/>
        </c:manualLayout>
      </c:layout>
      <c:scatterChart>
        <c:scatterStyle val="lineMarker"/>
        <c:varyColors val="0"/>
        <c:ser>
          <c:idx val="0"/>
          <c:order val="0"/>
          <c:tx>
            <c:strRef>
              <c:f>ConstructingDemandSols!$K$61</c:f>
              <c:strCache>
                <c:ptCount val="1"/>
                <c:pt idx="0">
                  <c:v>Dieter's Value</c:v>
                </c:pt>
              </c:strCache>
            </c:strRef>
          </c:tx>
          <c:spPr>
            <a:ln w="25400">
              <a:solidFill>
                <a:srgbClr val="000080"/>
              </a:solidFill>
              <a:prstDash val="solid"/>
            </a:ln>
          </c:spPr>
          <c:marker>
            <c:symbol val="dot"/>
            <c:size val="5"/>
            <c:spPr>
              <a:solidFill>
                <a:srgbClr val="000080"/>
              </a:solidFill>
              <a:ln>
                <a:solidFill>
                  <a:srgbClr val="000080"/>
                </a:solidFill>
                <a:prstDash val="solid"/>
              </a:ln>
            </c:spPr>
          </c:marker>
          <c:xVal>
            <c:numRef>
              <c:f>ConstructingDemandSols!$H$61:$H$62</c:f>
              <c:numCache>
                <c:formatCode>General</c:formatCode>
                <c:ptCount val="2"/>
                <c:pt idx="0">
                  <c:v>0.0</c:v>
                </c:pt>
                <c:pt idx="1">
                  <c:v>1.0</c:v>
                </c:pt>
              </c:numCache>
            </c:numRef>
          </c:xVal>
          <c:yVal>
            <c:numRef>
              <c:f>ConstructingDemandSols!$I$61:$I$62</c:f>
              <c:numCache>
                <c:formatCode>"$"#,##0.00</c:formatCode>
                <c:ptCount val="2"/>
                <c:pt idx="0">
                  <c:v>82.1</c:v>
                </c:pt>
                <c:pt idx="1">
                  <c:v>82.1</c:v>
                </c:pt>
              </c:numCache>
            </c:numRef>
          </c:yVal>
          <c:smooth val="0"/>
        </c:ser>
        <c:ser>
          <c:idx val="1"/>
          <c:order val="1"/>
          <c:tx>
            <c:strRef>
              <c:f>ConstructingDemandSols!$K$63</c:f>
              <c:strCache>
                <c:ptCount val="1"/>
                <c:pt idx="0">
                  <c:v>Estelle's Value</c:v>
                </c:pt>
              </c:strCache>
            </c:strRef>
          </c:tx>
          <c:spPr>
            <a:ln w="25400">
              <a:solidFill>
                <a:srgbClr val="FF00FF"/>
              </a:solidFill>
              <a:prstDash val="sysDot"/>
            </a:ln>
          </c:spPr>
          <c:marker>
            <c:symbol val="dot"/>
            <c:size val="5"/>
            <c:spPr>
              <a:solidFill>
                <a:srgbClr val="FF00FF"/>
              </a:solidFill>
              <a:ln>
                <a:solidFill>
                  <a:srgbClr val="FF00FF"/>
                </a:solidFill>
                <a:prstDash val="solid"/>
              </a:ln>
            </c:spPr>
          </c:marker>
          <c:xVal>
            <c:numRef>
              <c:f>ConstructingDemandSols!$H$63:$H$64</c:f>
              <c:numCache>
                <c:formatCode>General</c:formatCode>
                <c:ptCount val="2"/>
                <c:pt idx="0">
                  <c:v>1.0</c:v>
                </c:pt>
                <c:pt idx="1">
                  <c:v>2.0</c:v>
                </c:pt>
              </c:numCache>
            </c:numRef>
          </c:xVal>
          <c:yVal>
            <c:numRef>
              <c:f>ConstructingDemandSols!$I$63:$I$64</c:f>
              <c:numCache>
                <c:formatCode>"$"#,##0.00</c:formatCode>
                <c:ptCount val="2"/>
                <c:pt idx="0">
                  <c:v>65.2</c:v>
                </c:pt>
                <c:pt idx="1">
                  <c:v>65.2</c:v>
                </c:pt>
              </c:numCache>
            </c:numRef>
          </c:yVal>
          <c:smooth val="0"/>
        </c:ser>
        <c:ser>
          <c:idx val="2"/>
          <c:order val="2"/>
          <c:tx>
            <c:strRef>
              <c:f>ConstructingDemandSols!$K$65</c:f>
              <c:strCache>
                <c:ptCount val="1"/>
                <c:pt idx="0">
                  <c:v>Abby's Value</c:v>
                </c:pt>
              </c:strCache>
            </c:strRef>
          </c:tx>
          <c:spPr>
            <a:ln w="25400">
              <a:solidFill>
                <a:srgbClr val="FF6600"/>
              </a:solidFill>
              <a:prstDash val="dash"/>
            </a:ln>
          </c:spPr>
          <c:marker>
            <c:symbol val="dot"/>
            <c:size val="5"/>
            <c:spPr>
              <a:solidFill>
                <a:srgbClr val="FF6600"/>
              </a:solidFill>
              <a:ln>
                <a:solidFill>
                  <a:srgbClr val="FF6600"/>
                </a:solidFill>
                <a:prstDash val="solid"/>
              </a:ln>
            </c:spPr>
          </c:marker>
          <c:xVal>
            <c:numRef>
              <c:f>ConstructingDemandSols!$H$65:$H$66</c:f>
              <c:numCache>
                <c:formatCode>General</c:formatCode>
                <c:ptCount val="2"/>
                <c:pt idx="0">
                  <c:v>2.0</c:v>
                </c:pt>
                <c:pt idx="1">
                  <c:v>3.0</c:v>
                </c:pt>
              </c:numCache>
            </c:numRef>
          </c:xVal>
          <c:yVal>
            <c:numRef>
              <c:f>ConstructingDemandSols!$I$65:$I$66</c:f>
              <c:numCache>
                <c:formatCode>"$"#,##0.00</c:formatCode>
                <c:ptCount val="2"/>
                <c:pt idx="0">
                  <c:v>48.9</c:v>
                </c:pt>
                <c:pt idx="1">
                  <c:v>48.9</c:v>
                </c:pt>
              </c:numCache>
            </c:numRef>
          </c:yVal>
          <c:smooth val="0"/>
        </c:ser>
        <c:ser>
          <c:idx val="3"/>
          <c:order val="3"/>
          <c:tx>
            <c:strRef>
              <c:f>ConstructingDemandSols!$K$67</c:f>
              <c:strCache>
                <c:ptCount val="1"/>
                <c:pt idx="0">
                  <c:v>Bailey's Value</c:v>
                </c:pt>
              </c:strCache>
            </c:strRef>
          </c:tx>
          <c:spPr>
            <a:ln w="25400">
              <a:solidFill>
                <a:srgbClr val="00FFFF"/>
              </a:solidFill>
              <a:prstDash val="lgDashDot"/>
            </a:ln>
          </c:spPr>
          <c:marker>
            <c:symbol val="dot"/>
            <c:size val="5"/>
            <c:spPr>
              <a:noFill/>
              <a:ln>
                <a:solidFill>
                  <a:srgbClr val="00FFFF"/>
                </a:solidFill>
                <a:prstDash val="solid"/>
              </a:ln>
            </c:spPr>
          </c:marker>
          <c:xVal>
            <c:numRef>
              <c:f>ConstructingDemandSols!$H$67:$H$68</c:f>
              <c:numCache>
                <c:formatCode>General</c:formatCode>
                <c:ptCount val="2"/>
                <c:pt idx="0">
                  <c:v>3.0</c:v>
                </c:pt>
                <c:pt idx="1">
                  <c:v>4.0</c:v>
                </c:pt>
              </c:numCache>
            </c:numRef>
          </c:xVal>
          <c:yVal>
            <c:numRef>
              <c:f>ConstructingDemandSols!$I$67:$I$68</c:f>
              <c:numCache>
                <c:formatCode>"$"#,##0.00</c:formatCode>
                <c:ptCount val="2"/>
                <c:pt idx="0">
                  <c:v>31.0</c:v>
                </c:pt>
                <c:pt idx="1">
                  <c:v>31.0</c:v>
                </c:pt>
              </c:numCache>
            </c:numRef>
          </c:yVal>
          <c:smooth val="0"/>
        </c:ser>
        <c:ser>
          <c:idx val="4"/>
          <c:order val="4"/>
          <c:tx>
            <c:strRef>
              <c:f>ConstructingDemandSols!$K$69</c:f>
              <c:strCache>
                <c:ptCount val="1"/>
                <c:pt idx="0">
                  <c:v>Charlene's Value</c:v>
                </c:pt>
              </c:strCache>
            </c:strRef>
          </c:tx>
          <c:spPr>
            <a:ln w="25400">
              <a:solidFill>
                <a:srgbClr val="800080"/>
              </a:solidFill>
              <a:prstDash val="sysDash"/>
            </a:ln>
          </c:spPr>
          <c:marker>
            <c:symbol val="dot"/>
            <c:size val="2"/>
            <c:spPr>
              <a:noFill/>
              <a:ln>
                <a:solidFill>
                  <a:srgbClr val="800080"/>
                </a:solidFill>
                <a:prstDash val="solid"/>
              </a:ln>
            </c:spPr>
          </c:marker>
          <c:xVal>
            <c:numRef>
              <c:f>ConstructingDemandSols!$H$69:$H$70</c:f>
              <c:numCache>
                <c:formatCode>General</c:formatCode>
                <c:ptCount val="2"/>
                <c:pt idx="0">
                  <c:v>4.0</c:v>
                </c:pt>
                <c:pt idx="1">
                  <c:v>5.0</c:v>
                </c:pt>
              </c:numCache>
            </c:numRef>
          </c:xVal>
          <c:yVal>
            <c:numRef>
              <c:f>ConstructingDemandSols!$I$69:$I$70</c:f>
              <c:numCache>
                <c:formatCode>"$"#,##0.00</c:formatCode>
                <c:ptCount val="2"/>
                <c:pt idx="0">
                  <c:v>14.5</c:v>
                </c:pt>
                <c:pt idx="1">
                  <c:v>14.5</c:v>
                </c:pt>
              </c:numCache>
            </c:numRef>
          </c:yVal>
          <c:smooth val="0"/>
        </c:ser>
        <c:ser>
          <c:idx val="5"/>
          <c:order val="5"/>
          <c:tx>
            <c:v>Price Line</c:v>
          </c:tx>
          <c:spPr>
            <a:ln w="25400">
              <a:solidFill>
                <a:srgbClr val="800000"/>
              </a:solidFill>
              <a:prstDash val="solid"/>
            </a:ln>
          </c:spPr>
          <c:marker>
            <c:symbol val="dot"/>
            <c:size val="5"/>
            <c:spPr>
              <a:solidFill>
                <a:srgbClr val="800000"/>
              </a:solidFill>
              <a:ln>
                <a:solidFill>
                  <a:srgbClr val="800000"/>
                </a:solidFill>
                <a:prstDash val="solid"/>
              </a:ln>
            </c:spPr>
          </c:marker>
          <c:xVal>
            <c:numRef>
              <c:f>ConstructingDemandSols!$H$73:$H$74</c:f>
              <c:numCache>
                <c:formatCode>General</c:formatCode>
                <c:ptCount val="2"/>
                <c:pt idx="0">
                  <c:v>0.0</c:v>
                </c:pt>
                <c:pt idx="1">
                  <c:v>6.0</c:v>
                </c:pt>
              </c:numCache>
            </c:numRef>
          </c:xVal>
          <c:yVal>
            <c:numRef>
              <c:f>ConstructingDemandSols!$I$73:$I$74</c:f>
              <c:numCache>
                <c:formatCode>"$"#,##0.00</c:formatCode>
                <c:ptCount val="2"/>
                <c:pt idx="0">
                  <c:v>25.2</c:v>
                </c:pt>
                <c:pt idx="1">
                  <c:v>25.2</c:v>
                </c:pt>
              </c:numCache>
            </c:numRef>
          </c:yVal>
          <c:smooth val="0"/>
        </c:ser>
        <c:dLbls>
          <c:showLegendKey val="0"/>
          <c:showVal val="0"/>
          <c:showCatName val="0"/>
          <c:showSerName val="0"/>
          <c:showPercent val="0"/>
          <c:showBubbleSize val="0"/>
        </c:dLbls>
        <c:axId val="2129248984"/>
        <c:axId val="2129256808"/>
      </c:scatterChart>
      <c:valAx>
        <c:axId val="2129248984"/>
        <c:scaling>
          <c:orientation val="minMax"/>
          <c:max val="5.0"/>
          <c:min val="0.0"/>
        </c:scaling>
        <c:delete val="0"/>
        <c:axPos val="b"/>
        <c:title>
          <c:tx>
            <c:rich>
              <a:bodyPr/>
              <a:lstStyle/>
              <a:p>
                <a:pPr>
                  <a:defRPr sz="1050" b="1" i="0" u="none" strike="noStrike" baseline="0">
                    <a:solidFill>
                      <a:srgbClr val="000000"/>
                    </a:solidFill>
                    <a:latin typeface="Arial"/>
                    <a:ea typeface="Arial"/>
                    <a:cs typeface="Arial"/>
                  </a:defRPr>
                </a:pPr>
                <a:r>
                  <a:rPr lang="en-US"/>
                  <a:t>Number</a:t>
                </a:r>
              </a:p>
            </c:rich>
          </c:tx>
          <c:layout>
            <c:manualLayout>
              <c:xMode val="edge"/>
              <c:yMode val="edge"/>
              <c:x val="0.401560218613355"/>
              <c:y val="0.8914762425669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29256808"/>
        <c:crosses val="autoZero"/>
        <c:crossBetween val="midCat"/>
        <c:majorUnit val="1.0"/>
      </c:valAx>
      <c:valAx>
        <c:axId val="2129256808"/>
        <c:scaling>
          <c:orientation val="minMax"/>
          <c:max val="100.0"/>
          <c:min val="0.0"/>
        </c:scaling>
        <c:delete val="0"/>
        <c:axPos val="l"/>
        <c:title>
          <c:tx>
            <c:rich>
              <a:bodyPr/>
              <a:lstStyle/>
              <a:p>
                <a:pPr>
                  <a:defRPr sz="1050" b="1" i="0" u="none" strike="noStrike" baseline="0">
                    <a:solidFill>
                      <a:srgbClr val="000000"/>
                    </a:solidFill>
                    <a:latin typeface="Arial"/>
                    <a:ea typeface="Arial"/>
                    <a:cs typeface="Arial"/>
                  </a:defRPr>
                </a:pPr>
                <a:r>
                  <a:rPr lang="en-US"/>
                  <a:t>Pricee</a:t>
                </a:r>
              </a:p>
            </c:rich>
          </c:tx>
          <c:layout>
            <c:manualLayout>
              <c:xMode val="edge"/>
              <c:yMode val="edge"/>
              <c:x val="0.0103963612735543"/>
              <c:y val="0.422482247858553"/>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29248984"/>
        <c:crosses val="autoZero"/>
        <c:crossBetween val="midCat"/>
        <c:majorUnit val="20.0"/>
      </c:valAx>
      <c:spPr>
        <a:solidFill>
          <a:srgbClr val="FFFFCC"/>
        </a:solidFill>
        <a:ln w="12700">
          <a:solidFill>
            <a:srgbClr val="808080"/>
          </a:solidFill>
          <a:prstDash val="solid"/>
        </a:ln>
      </c:spPr>
    </c:plotArea>
    <c:legend>
      <c:legendPos val="r"/>
      <c:layout>
        <c:manualLayout>
          <c:xMode val="edge"/>
          <c:yMode val="edge"/>
          <c:x val="0.756336722436804"/>
          <c:y val="0.263566889106745"/>
          <c:w val="0.231969252499948"/>
          <c:h val="0.51550582722348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Effect of Scaling the Market</a:t>
            </a:r>
          </a:p>
        </c:rich>
      </c:tx>
      <c:layout>
        <c:manualLayout>
          <c:xMode val="edge"/>
          <c:yMode val="edge"/>
          <c:x val="0.290816809525154"/>
          <c:y val="0.0373135008189658"/>
        </c:manualLayout>
      </c:layout>
      <c:overlay val="0"/>
      <c:spPr>
        <a:noFill/>
        <a:ln w="25400">
          <a:noFill/>
        </a:ln>
      </c:spPr>
    </c:title>
    <c:autoTitleDeleted val="0"/>
    <c:plotArea>
      <c:layout>
        <c:manualLayout>
          <c:layoutTarget val="inner"/>
          <c:xMode val="edge"/>
          <c:yMode val="edge"/>
          <c:x val="0.170068309663833"/>
          <c:y val="0.26119450573276"/>
          <c:w val="0.603742499306606"/>
          <c:h val="0.559702512284487"/>
        </c:manualLayout>
      </c:layout>
      <c:scatterChart>
        <c:scatterStyle val="lineMarker"/>
        <c:varyColors val="0"/>
        <c:ser>
          <c:idx val="0"/>
          <c:order val="0"/>
          <c:tx>
            <c:v>Demand</c:v>
          </c:tx>
          <c:spPr>
            <a:ln w="3175">
              <a:solidFill>
                <a:srgbClr val="C0C0C0"/>
              </a:solidFill>
              <a:prstDash val="solid"/>
            </a:ln>
          </c:spPr>
          <c:marker>
            <c:symbol val="dot"/>
            <c:size val="2"/>
            <c:spPr>
              <a:solidFill>
                <a:srgbClr val="C0C0C0"/>
              </a:solidFill>
              <a:ln>
                <a:solidFill>
                  <a:srgbClr val="C0C0C0"/>
                </a:solidFill>
                <a:prstDash val="solid"/>
              </a:ln>
            </c:spPr>
          </c:marker>
          <c:xVal>
            <c:numRef>
              <c:f>ConDviSols!$Q$11:$Q$110</c:f>
              <c:numCache>
                <c:formatCode>General</c:formatCode>
                <c:ptCount val="100"/>
                <c:pt idx="0">
                  <c:v>0.0</c:v>
                </c:pt>
                <c:pt idx="1">
                  <c:v>1.0</c:v>
                </c:pt>
                <c:pt idx="2">
                  <c:v>1.0</c:v>
                </c:pt>
                <c:pt idx="3">
                  <c:v>2.0</c:v>
                </c:pt>
                <c:pt idx="4">
                  <c:v>2.0</c:v>
                </c:pt>
                <c:pt idx="5">
                  <c:v>3.0</c:v>
                </c:pt>
                <c:pt idx="6">
                  <c:v>3.0</c:v>
                </c:pt>
                <c:pt idx="7">
                  <c:v>4.0</c:v>
                </c:pt>
                <c:pt idx="8">
                  <c:v>4.0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numCache>
            </c:numRef>
          </c:xVal>
          <c:yVal>
            <c:numRef>
              <c:f>ConDviSols!$R$11:$R$110</c:f>
              <c:numCache>
                <c:formatCode>General</c:formatCode>
                <c:ptCount val="100"/>
                <c:pt idx="0">
                  <c:v>82.1</c:v>
                </c:pt>
                <c:pt idx="1">
                  <c:v>82.1</c:v>
                </c:pt>
                <c:pt idx="2">
                  <c:v>65.2</c:v>
                </c:pt>
                <c:pt idx="3">
                  <c:v>65.2</c:v>
                </c:pt>
                <c:pt idx="4">
                  <c:v>48.9</c:v>
                </c:pt>
                <c:pt idx="5">
                  <c:v>48.9</c:v>
                </c:pt>
                <c:pt idx="6">
                  <c:v>31.0</c:v>
                </c:pt>
                <c:pt idx="7">
                  <c:v>31.0</c:v>
                </c:pt>
                <c:pt idx="8">
                  <c:v>14.5</c:v>
                </c:pt>
                <c:pt idx="9">
                  <c:v>14.5</c:v>
                </c:pt>
                <c:pt idx="10">
                  <c:v>14.5</c:v>
                </c:pt>
                <c:pt idx="11">
                  <c:v>14.5</c:v>
                </c:pt>
                <c:pt idx="12">
                  <c:v>14.5</c:v>
                </c:pt>
                <c:pt idx="13">
                  <c:v>14.5</c:v>
                </c:pt>
                <c:pt idx="14">
                  <c:v>14.5</c:v>
                </c:pt>
                <c:pt idx="15">
                  <c:v>14.5</c:v>
                </c:pt>
                <c:pt idx="16">
                  <c:v>14.5</c:v>
                </c:pt>
                <c:pt idx="17">
                  <c:v>14.5</c:v>
                </c:pt>
                <c:pt idx="18">
                  <c:v>14.5</c:v>
                </c:pt>
                <c:pt idx="19">
                  <c:v>14.5</c:v>
                </c:pt>
                <c:pt idx="20">
                  <c:v>14.5</c:v>
                </c:pt>
                <c:pt idx="21">
                  <c:v>14.5</c:v>
                </c:pt>
                <c:pt idx="22">
                  <c:v>14.5</c:v>
                </c:pt>
                <c:pt idx="23">
                  <c:v>14.5</c:v>
                </c:pt>
                <c:pt idx="24">
                  <c:v>14.5</c:v>
                </c:pt>
                <c:pt idx="25">
                  <c:v>14.5</c:v>
                </c:pt>
                <c:pt idx="26">
                  <c:v>14.5</c:v>
                </c:pt>
                <c:pt idx="27">
                  <c:v>14.5</c:v>
                </c:pt>
                <c:pt idx="28">
                  <c:v>14.5</c:v>
                </c:pt>
                <c:pt idx="29">
                  <c:v>14.5</c:v>
                </c:pt>
                <c:pt idx="30">
                  <c:v>14.5</c:v>
                </c:pt>
                <c:pt idx="31">
                  <c:v>14.5</c:v>
                </c:pt>
                <c:pt idx="32">
                  <c:v>14.5</c:v>
                </c:pt>
                <c:pt idx="33">
                  <c:v>14.5</c:v>
                </c:pt>
                <c:pt idx="34">
                  <c:v>14.5</c:v>
                </c:pt>
                <c:pt idx="35">
                  <c:v>14.5</c:v>
                </c:pt>
                <c:pt idx="36">
                  <c:v>14.5</c:v>
                </c:pt>
                <c:pt idx="37">
                  <c:v>14.5</c:v>
                </c:pt>
                <c:pt idx="38">
                  <c:v>14.5</c:v>
                </c:pt>
                <c:pt idx="39">
                  <c:v>14.5</c:v>
                </c:pt>
                <c:pt idx="40">
                  <c:v>14.5</c:v>
                </c:pt>
                <c:pt idx="41">
                  <c:v>14.5</c:v>
                </c:pt>
                <c:pt idx="42">
                  <c:v>14.5</c:v>
                </c:pt>
                <c:pt idx="43">
                  <c:v>14.5</c:v>
                </c:pt>
                <c:pt idx="44">
                  <c:v>14.5</c:v>
                </c:pt>
                <c:pt idx="45">
                  <c:v>14.5</c:v>
                </c:pt>
                <c:pt idx="46">
                  <c:v>14.5</c:v>
                </c:pt>
                <c:pt idx="47">
                  <c:v>14.5</c:v>
                </c:pt>
                <c:pt idx="48">
                  <c:v>14.5</c:v>
                </c:pt>
                <c:pt idx="49">
                  <c:v>14.5</c:v>
                </c:pt>
                <c:pt idx="50">
                  <c:v>14.5</c:v>
                </c:pt>
                <c:pt idx="51">
                  <c:v>14.5</c:v>
                </c:pt>
                <c:pt idx="52">
                  <c:v>14.5</c:v>
                </c:pt>
                <c:pt idx="53">
                  <c:v>14.5</c:v>
                </c:pt>
                <c:pt idx="54">
                  <c:v>14.5</c:v>
                </c:pt>
                <c:pt idx="55">
                  <c:v>14.5</c:v>
                </c:pt>
                <c:pt idx="56">
                  <c:v>14.5</c:v>
                </c:pt>
                <c:pt idx="57">
                  <c:v>14.5</c:v>
                </c:pt>
                <c:pt idx="58">
                  <c:v>14.5</c:v>
                </c:pt>
                <c:pt idx="59">
                  <c:v>14.5</c:v>
                </c:pt>
                <c:pt idx="60">
                  <c:v>14.5</c:v>
                </c:pt>
                <c:pt idx="61">
                  <c:v>14.5</c:v>
                </c:pt>
                <c:pt idx="62">
                  <c:v>14.5</c:v>
                </c:pt>
                <c:pt idx="63">
                  <c:v>14.5</c:v>
                </c:pt>
                <c:pt idx="64">
                  <c:v>14.5</c:v>
                </c:pt>
                <c:pt idx="65">
                  <c:v>14.5</c:v>
                </c:pt>
                <c:pt idx="66">
                  <c:v>14.5</c:v>
                </c:pt>
                <c:pt idx="67">
                  <c:v>14.5</c:v>
                </c:pt>
                <c:pt idx="68">
                  <c:v>14.5</c:v>
                </c:pt>
                <c:pt idx="69">
                  <c:v>14.5</c:v>
                </c:pt>
                <c:pt idx="70">
                  <c:v>14.5</c:v>
                </c:pt>
                <c:pt idx="71">
                  <c:v>14.5</c:v>
                </c:pt>
                <c:pt idx="72">
                  <c:v>14.5</c:v>
                </c:pt>
                <c:pt idx="73">
                  <c:v>14.5</c:v>
                </c:pt>
                <c:pt idx="74">
                  <c:v>14.5</c:v>
                </c:pt>
                <c:pt idx="75">
                  <c:v>14.5</c:v>
                </c:pt>
                <c:pt idx="76">
                  <c:v>14.5</c:v>
                </c:pt>
                <c:pt idx="77">
                  <c:v>14.5</c:v>
                </c:pt>
                <c:pt idx="78">
                  <c:v>14.5</c:v>
                </c:pt>
                <c:pt idx="79">
                  <c:v>14.5</c:v>
                </c:pt>
                <c:pt idx="80">
                  <c:v>14.5</c:v>
                </c:pt>
                <c:pt idx="81">
                  <c:v>14.5</c:v>
                </c:pt>
                <c:pt idx="82">
                  <c:v>14.5</c:v>
                </c:pt>
                <c:pt idx="83">
                  <c:v>14.5</c:v>
                </c:pt>
                <c:pt idx="84">
                  <c:v>14.5</c:v>
                </c:pt>
                <c:pt idx="85">
                  <c:v>14.5</c:v>
                </c:pt>
                <c:pt idx="86">
                  <c:v>14.5</c:v>
                </c:pt>
                <c:pt idx="87">
                  <c:v>14.5</c:v>
                </c:pt>
                <c:pt idx="88">
                  <c:v>14.5</c:v>
                </c:pt>
                <c:pt idx="89">
                  <c:v>14.5</c:v>
                </c:pt>
                <c:pt idx="90">
                  <c:v>14.5</c:v>
                </c:pt>
                <c:pt idx="91">
                  <c:v>14.5</c:v>
                </c:pt>
                <c:pt idx="92">
                  <c:v>14.5</c:v>
                </c:pt>
                <c:pt idx="93">
                  <c:v>14.5</c:v>
                </c:pt>
                <c:pt idx="94">
                  <c:v>14.5</c:v>
                </c:pt>
                <c:pt idx="95">
                  <c:v>14.5</c:v>
                </c:pt>
                <c:pt idx="96">
                  <c:v>14.5</c:v>
                </c:pt>
                <c:pt idx="97">
                  <c:v>14.5</c:v>
                </c:pt>
                <c:pt idx="98">
                  <c:v>14.5</c:v>
                </c:pt>
                <c:pt idx="99">
                  <c:v>14.5</c:v>
                </c:pt>
              </c:numCache>
            </c:numRef>
          </c:yVal>
          <c:smooth val="0"/>
        </c:ser>
        <c:ser>
          <c:idx val="1"/>
          <c:order val="1"/>
          <c:tx>
            <c:v>Supply</c:v>
          </c:tx>
          <c:spPr>
            <a:ln w="3175">
              <a:solidFill>
                <a:srgbClr val="FF99CC"/>
              </a:solidFill>
              <a:prstDash val="solid"/>
            </a:ln>
          </c:spPr>
          <c:marker>
            <c:symbol val="dot"/>
            <c:size val="2"/>
            <c:spPr>
              <a:solidFill>
                <a:srgbClr val="FF99CC"/>
              </a:solidFill>
              <a:ln>
                <a:solidFill>
                  <a:srgbClr val="FF99CC"/>
                </a:solidFill>
                <a:prstDash val="solid"/>
              </a:ln>
            </c:spPr>
          </c:marker>
          <c:xVal>
            <c:numRef>
              <c:f>ConDviSols!$Q$11:$Q$110</c:f>
              <c:numCache>
                <c:formatCode>General</c:formatCode>
                <c:ptCount val="100"/>
                <c:pt idx="0">
                  <c:v>0.0</c:v>
                </c:pt>
                <c:pt idx="1">
                  <c:v>1.0</c:v>
                </c:pt>
                <c:pt idx="2">
                  <c:v>1.0</c:v>
                </c:pt>
                <c:pt idx="3">
                  <c:v>2.0</c:v>
                </c:pt>
                <c:pt idx="4">
                  <c:v>2.0</c:v>
                </c:pt>
                <c:pt idx="5">
                  <c:v>3.0</c:v>
                </c:pt>
                <c:pt idx="6">
                  <c:v>3.0</c:v>
                </c:pt>
                <c:pt idx="7">
                  <c:v>4.0</c:v>
                </c:pt>
                <c:pt idx="8">
                  <c:v>4.0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numCache>
            </c:numRef>
          </c:xVal>
          <c:yVal>
            <c:numRef>
              <c:f>ConDviSols!$S$11:$S$110</c:f>
              <c:numCache>
                <c:formatCode>General</c:formatCode>
                <c:ptCount val="100"/>
                <c:pt idx="0">
                  <c:v>22.3</c:v>
                </c:pt>
                <c:pt idx="1">
                  <c:v>22.3</c:v>
                </c:pt>
                <c:pt idx="2">
                  <c:v>38.7</c:v>
                </c:pt>
                <c:pt idx="3">
                  <c:v>38.7</c:v>
                </c:pt>
                <c:pt idx="4">
                  <c:v>60.1</c:v>
                </c:pt>
                <c:pt idx="5">
                  <c:v>60.1</c:v>
                </c:pt>
                <c:pt idx="6">
                  <c:v>70.5</c:v>
                </c:pt>
                <c:pt idx="7">
                  <c:v>70.5</c:v>
                </c:pt>
                <c:pt idx="8">
                  <c:v>89.0</c:v>
                </c:pt>
                <c:pt idx="9">
                  <c:v>89.0</c:v>
                </c:pt>
                <c:pt idx="10">
                  <c:v>89.0</c:v>
                </c:pt>
                <c:pt idx="11">
                  <c:v>89.0</c:v>
                </c:pt>
                <c:pt idx="12">
                  <c:v>89.0</c:v>
                </c:pt>
                <c:pt idx="13">
                  <c:v>89.0</c:v>
                </c:pt>
                <c:pt idx="14">
                  <c:v>89.0</c:v>
                </c:pt>
                <c:pt idx="15">
                  <c:v>89.0</c:v>
                </c:pt>
                <c:pt idx="16">
                  <c:v>89.0</c:v>
                </c:pt>
                <c:pt idx="17">
                  <c:v>89.0</c:v>
                </c:pt>
                <c:pt idx="18">
                  <c:v>89.0</c:v>
                </c:pt>
                <c:pt idx="19">
                  <c:v>89.0</c:v>
                </c:pt>
                <c:pt idx="20">
                  <c:v>89.0</c:v>
                </c:pt>
                <c:pt idx="21">
                  <c:v>89.0</c:v>
                </c:pt>
                <c:pt idx="22">
                  <c:v>89.0</c:v>
                </c:pt>
                <c:pt idx="23">
                  <c:v>89.0</c:v>
                </c:pt>
                <c:pt idx="24">
                  <c:v>89.0</c:v>
                </c:pt>
                <c:pt idx="25">
                  <c:v>89.0</c:v>
                </c:pt>
                <c:pt idx="26">
                  <c:v>89.0</c:v>
                </c:pt>
                <c:pt idx="27">
                  <c:v>89.0</c:v>
                </c:pt>
                <c:pt idx="28">
                  <c:v>89.0</c:v>
                </c:pt>
                <c:pt idx="29">
                  <c:v>89.0</c:v>
                </c:pt>
                <c:pt idx="30">
                  <c:v>89.0</c:v>
                </c:pt>
                <c:pt idx="31">
                  <c:v>89.0</c:v>
                </c:pt>
                <c:pt idx="32">
                  <c:v>89.0</c:v>
                </c:pt>
                <c:pt idx="33">
                  <c:v>89.0</c:v>
                </c:pt>
                <c:pt idx="34">
                  <c:v>89.0</c:v>
                </c:pt>
                <c:pt idx="35">
                  <c:v>89.0</c:v>
                </c:pt>
                <c:pt idx="36">
                  <c:v>89.0</c:v>
                </c:pt>
                <c:pt idx="37">
                  <c:v>89.0</c:v>
                </c:pt>
                <c:pt idx="38">
                  <c:v>89.0</c:v>
                </c:pt>
                <c:pt idx="39">
                  <c:v>89.0</c:v>
                </c:pt>
                <c:pt idx="40">
                  <c:v>89.0</c:v>
                </c:pt>
                <c:pt idx="41">
                  <c:v>89.0</c:v>
                </c:pt>
                <c:pt idx="42">
                  <c:v>89.0</c:v>
                </c:pt>
                <c:pt idx="43">
                  <c:v>89.0</c:v>
                </c:pt>
                <c:pt idx="44">
                  <c:v>89.0</c:v>
                </c:pt>
                <c:pt idx="45">
                  <c:v>89.0</c:v>
                </c:pt>
                <c:pt idx="46">
                  <c:v>89.0</c:v>
                </c:pt>
                <c:pt idx="47">
                  <c:v>89.0</c:v>
                </c:pt>
                <c:pt idx="48">
                  <c:v>89.0</c:v>
                </c:pt>
                <c:pt idx="49">
                  <c:v>89.0</c:v>
                </c:pt>
                <c:pt idx="50">
                  <c:v>89.0</c:v>
                </c:pt>
                <c:pt idx="51">
                  <c:v>89.0</c:v>
                </c:pt>
                <c:pt idx="52">
                  <c:v>89.0</c:v>
                </c:pt>
                <c:pt idx="53">
                  <c:v>89.0</c:v>
                </c:pt>
                <c:pt idx="54">
                  <c:v>89.0</c:v>
                </c:pt>
                <c:pt idx="55">
                  <c:v>89.0</c:v>
                </c:pt>
                <c:pt idx="56">
                  <c:v>89.0</c:v>
                </c:pt>
                <c:pt idx="57">
                  <c:v>89.0</c:v>
                </c:pt>
                <c:pt idx="58">
                  <c:v>89.0</c:v>
                </c:pt>
                <c:pt idx="59">
                  <c:v>89.0</c:v>
                </c:pt>
                <c:pt idx="60">
                  <c:v>89.0</c:v>
                </c:pt>
                <c:pt idx="61">
                  <c:v>89.0</c:v>
                </c:pt>
                <c:pt idx="62">
                  <c:v>89.0</c:v>
                </c:pt>
                <c:pt idx="63">
                  <c:v>89.0</c:v>
                </c:pt>
                <c:pt idx="64">
                  <c:v>89.0</c:v>
                </c:pt>
                <c:pt idx="65">
                  <c:v>89.0</c:v>
                </c:pt>
                <c:pt idx="66">
                  <c:v>89.0</c:v>
                </c:pt>
                <c:pt idx="67">
                  <c:v>89.0</c:v>
                </c:pt>
                <c:pt idx="68">
                  <c:v>89.0</c:v>
                </c:pt>
                <c:pt idx="69">
                  <c:v>89.0</c:v>
                </c:pt>
                <c:pt idx="70">
                  <c:v>89.0</c:v>
                </c:pt>
                <c:pt idx="71">
                  <c:v>89.0</c:v>
                </c:pt>
                <c:pt idx="72">
                  <c:v>89.0</c:v>
                </c:pt>
                <c:pt idx="73">
                  <c:v>89.0</c:v>
                </c:pt>
                <c:pt idx="74">
                  <c:v>89.0</c:v>
                </c:pt>
                <c:pt idx="75">
                  <c:v>89.0</c:v>
                </c:pt>
                <c:pt idx="76">
                  <c:v>89.0</c:v>
                </c:pt>
                <c:pt idx="77">
                  <c:v>89.0</c:v>
                </c:pt>
                <c:pt idx="78">
                  <c:v>89.0</c:v>
                </c:pt>
                <c:pt idx="79">
                  <c:v>89.0</c:v>
                </c:pt>
                <c:pt idx="80">
                  <c:v>89.0</c:v>
                </c:pt>
                <c:pt idx="81">
                  <c:v>89.0</c:v>
                </c:pt>
                <c:pt idx="82">
                  <c:v>89.0</c:v>
                </c:pt>
                <c:pt idx="83">
                  <c:v>89.0</c:v>
                </c:pt>
                <c:pt idx="84">
                  <c:v>89.0</c:v>
                </c:pt>
                <c:pt idx="85">
                  <c:v>89.0</c:v>
                </c:pt>
                <c:pt idx="86">
                  <c:v>89.0</c:v>
                </c:pt>
                <c:pt idx="87">
                  <c:v>89.0</c:v>
                </c:pt>
                <c:pt idx="88">
                  <c:v>89.0</c:v>
                </c:pt>
                <c:pt idx="89">
                  <c:v>89.0</c:v>
                </c:pt>
                <c:pt idx="90">
                  <c:v>89.0</c:v>
                </c:pt>
                <c:pt idx="91">
                  <c:v>89.0</c:v>
                </c:pt>
                <c:pt idx="92">
                  <c:v>89.0</c:v>
                </c:pt>
                <c:pt idx="93">
                  <c:v>89.0</c:v>
                </c:pt>
                <c:pt idx="94">
                  <c:v>89.0</c:v>
                </c:pt>
                <c:pt idx="95">
                  <c:v>89.0</c:v>
                </c:pt>
                <c:pt idx="96">
                  <c:v>89.0</c:v>
                </c:pt>
                <c:pt idx="97">
                  <c:v>89.0</c:v>
                </c:pt>
                <c:pt idx="98">
                  <c:v>89.0</c:v>
                </c:pt>
                <c:pt idx="99">
                  <c:v>89.0</c:v>
                </c:pt>
              </c:numCache>
            </c:numRef>
          </c:yVal>
          <c:smooth val="0"/>
        </c:ser>
        <c:ser>
          <c:idx val="2"/>
          <c:order val="2"/>
          <c:tx>
            <c:v>Original Buyer 1</c:v>
          </c:tx>
          <c:spPr>
            <a:ln w="38100">
              <a:solidFill>
                <a:srgbClr val="FF6600"/>
              </a:solidFill>
              <a:prstDash val="solid"/>
            </a:ln>
          </c:spPr>
          <c:marker>
            <c:symbol val="dot"/>
            <c:size val="2"/>
            <c:spPr>
              <a:solidFill>
                <a:srgbClr val="FF6600"/>
              </a:solidFill>
              <a:ln>
                <a:solidFill>
                  <a:srgbClr val="FF6600"/>
                </a:solidFill>
                <a:prstDash val="solid"/>
              </a:ln>
            </c:spPr>
          </c:marker>
          <c:xVal>
            <c:numRef>
              <c:f>ConDviSols!$U$11:$U$12</c:f>
              <c:numCache>
                <c:formatCode>General</c:formatCode>
                <c:ptCount val="2"/>
                <c:pt idx="0">
                  <c:v>0.0</c:v>
                </c:pt>
                <c:pt idx="1">
                  <c:v>1.0</c:v>
                </c:pt>
              </c:numCache>
            </c:numRef>
          </c:xVal>
          <c:yVal>
            <c:numRef>
              <c:f>ConDviSols!$V$11:$V$12</c:f>
              <c:numCache>
                <c:formatCode>General</c:formatCode>
                <c:ptCount val="2"/>
                <c:pt idx="0">
                  <c:v>82.1</c:v>
                </c:pt>
                <c:pt idx="1">
                  <c:v>82.1</c:v>
                </c:pt>
              </c:numCache>
            </c:numRef>
          </c:yVal>
          <c:smooth val="0"/>
        </c:ser>
        <c:ser>
          <c:idx val="3"/>
          <c:order val="3"/>
          <c:tx>
            <c:v>Original Buyer 2</c:v>
          </c:tx>
          <c:spPr>
            <a:ln w="38100">
              <a:solidFill>
                <a:srgbClr val="FF6600"/>
              </a:solidFill>
              <a:prstDash val="solid"/>
            </a:ln>
          </c:spPr>
          <c:marker>
            <c:symbol val="dot"/>
            <c:size val="2"/>
            <c:spPr>
              <a:solidFill>
                <a:srgbClr val="FF6600"/>
              </a:solidFill>
              <a:ln>
                <a:solidFill>
                  <a:srgbClr val="FF6600"/>
                </a:solidFill>
                <a:prstDash val="solid"/>
              </a:ln>
            </c:spPr>
          </c:marker>
          <c:xVal>
            <c:numRef>
              <c:f>ConDviSols!$U$13:$U$14</c:f>
              <c:numCache>
                <c:formatCode>General</c:formatCode>
                <c:ptCount val="2"/>
                <c:pt idx="0">
                  <c:v>1.0</c:v>
                </c:pt>
                <c:pt idx="1">
                  <c:v>2.0</c:v>
                </c:pt>
              </c:numCache>
            </c:numRef>
          </c:xVal>
          <c:yVal>
            <c:numRef>
              <c:f>ConDviSols!$V$13:$V$14</c:f>
              <c:numCache>
                <c:formatCode>General</c:formatCode>
                <c:ptCount val="2"/>
                <c:pt idx="0">
                  <c:v>65.2</c:v>
                </c:pt>
                <c:pt idx="1">
                  <c:v>65.2</c:v>
                </c:pt>
              </c:numCache>
            </c:numRef>
          </c:yVal>
          <c:smooth val="0"/>
        </c:ser>
        <c:ser>
          <c:idx val="4"/>
          <c:order val="4"/>
          <c:tx>
            <c:v>Original Buyer 3</c:v>
          </c:tx>
          <c:spPr>
            <a:ln w="38100">
              <a:solidFill>
                <a:srgbClr val="FF6600"/>
              </a:solidFill>
              <a:prstDash val="solid"/>
            </a:ln>
          </c:spPr>
          <c:marker>
            <c:symbol val="dot"/>
            <c:size val="2"/>
            <c:spPr>
              <a:solidFill>
                <a:srgbClr val="FF6600"/>
              </a:solidFill>
              <a:ln>
                <a:solidFill>
                  <a:srgbClr val="FF6600"/>
                </a:solidFill>
                <a:prstDash val="solid"/>
              </a:ln>
            </c:spPr>
          </c:marker>
          <c:xVal>
            <c:numRef>
              <c:f>ConDviSols!$U$15:$U$16</c:f>
              <c:numCache>
                <c:formatCode>General</c:formatCode>
                <c:ptCount val="2"/>
                <c:pt idx="0">
                  <c:v>2.0</c:v>
                </c:pt>
                <c:pt idx="1">
                  <c:v>3.0</c:v>
                </c:pt>
              </c:numCache>
            </c:numRef>
          </c:xVal>
          <c:yVal>
            <c:numRef>
              <c:f>ConDviSols!$V$15:$V$16</c:f>
              <c:numCache>
                <c:formatCode>General</c:formatCode>
                <c:ptCount val="2"/>
                <c:pt idx="0">
                  <c:v>48.9</c:v>
                </c:pt>
                <c:pt idx="1">
                  <c:v>48.9</c:v>
                </c:pt>
              </c:numCache>
            </c:numRef>
          </c:yVal>
          <c:smooth val="0"/>
        </c:ser>
        <c:ser>
          <c:idx val="5"/>
          <c:order val="5"/>
          <c:tx>
            <c:v>Original Buyer 4</c:v>
          </c:tx>
          <c:spPr>
            <a:ln w="38100">
              <a:solidFill>
                <a:srgbClr val="FF6600"/>
              </a:solidFill>
              <a:prstDash val="solid"/>
            </a:ln>
          </c:spPr>
          <c:marker>
            <c:symbol val="dot"/>
            <c:size val="2"/>
            <c:spPr>
              <a:solidFill>
                <a:srgbClr val="FF6600"/>
              </a:solidFill>
              <a:ln>
                <a:solidFill>
                  <a:srgbClr val="FF6600"/>
                </a:solidFill>
                <a:prstDash val="solid"/>
              </a:ln>
            </c:spPr>
          </c:marker>
          <c:xVal>
            <c:numRef>
              <c:f>ConDviSols!$U$17:$U$18</c:f>
              <c:numCache>
                <c:formatCode>General</c:formatCode>
                <c:ptCount val="2"/>
                <c:pt idx="0">
                  <c:v>3.0</c:v>
                </c:pt>
                <c:pt idx="1">
                  <c:v>4.0</c:v>
                </c:pt>
              </c:numCache>
            </c:numRef>
          </c:xVal>
          <c:yVal>
            <c:numRef>
              <c:f>ConDviSols!$V$17:$V$18</c:f>
              <c:numCache>
                <c:formatCode>General</c:formatCode>
                <c:ptCount val="2"/>
                <c:pt idx="0">
                  <c:v>31.0</c:v>
                </c:pt>
                <c:pt idx="1">
                  <c:v>31.0</c:v>
                </c:pt>
              </c:numCache>
            </c:numRef>
          </c:yVal>
          <c:smooth val="0"/>
        </c:ser>
        <c:ser>
          <c:idx val="6"/>
          <c:order val="6"/>
          <c:tx>
            <c:v>Original Buyer 5</c:v>
          </c:tx>
          <c:spPr>
            <a:ln w="38100">
              <a:solidFill>
                <a:srgbClr val="FF6600"/>
              </a:solidFill>
              <a:prstDash val="solid"/>
            </a:ln>
          </c:spPr>
          <c:marker>
            <c:symbol val="dot"/>
            <c:size val="2"/>
            <c:spPr>
              <a:solidFill>
                <a:srgbClr val="FF6600"/>
              </a:solidFill>
              <a:ln>
                <a:solidFill>
                  <a:srgbClr val="FF6600"/>
                </a:solidFill>
                <a:prstDash val="solid"/>
              </a:ln>
            </c:spPr>
          </c:marker>
          <c:xVal>
            <c:numRef>
              <c:f>ConDviSols!$U$19:$U$20</c:f>
              <c:numCache>
                <c:formatCode>General</c:formatCode>
                <c:ptCount val="2"/>
                <c:pt idx="0">
                  <c:v>4.0</c:v>
                </c:pt>
                <c:pt idx="1">
                  <c:v>5.0</c:v>
                </c:pt>
              </c:numCache>
            </c:numRef>
          </c:xVal>
          <c:yVal>
            <c:numRef>
              <c:f>ConDviSols!$V$19:$V$20</c:f>
              <c:numCache>
                <c:formatCode>General</c:formatCode>
                <c:ptCount val="2"/>
                <c:pt idx="0">
                  <c:v>14.5</c:v>
                </c:pt>
                <c:pt idx="1">
                  <c:v>14.5</c:v>
                </c:pt>
              </c:numCache>
            </c:numRef>
          </c:yVal>
          <c:smooth val="0"/>
        </c:ser>
        <c:ser>
          <c:idx val="7"/>
          <c:order val="7"/>
          <c:tx>
            <c:v>Original Seller 1</c:v>
          </c:tx>
          <c:spPr>
            <a:ln w="38100">
              <a:solidFill>
                <a:srgbClr val="0000FF"/>
              </a:solidFill>
              <a:prstDash val="solid"/>
            </a:ln>
          </c:spPr>
          <c:marker>
            <c:symbol val="dot"/>
            <c:size val="2"/>
            <c:spPr>
              <a:solidFill>
                <a:srgbClr val="0000FF"/>
              </a:solidFill>
              <a:ln>
                <a:solidFill>
                  <a:srgbClr val="0000FF"/>
                </a:solidFill>
                <a:prstDash val="solid"/>
              </a:ln>
            </c:spPr>
          </c:marker>
          <c:xVal>
            <c:numRef>
              <c:f>ConDviSols!$U$11:$U$12</c:f>
              <c:numCache>
                <c:formatCode>General</c:formatCode>
                <c:ptCount val="2"/>
                <c:pt idx="0">
                  <c:v>0.0</c:v>
                </c:pt>
                <c:pt idx="1">
                  <c:v>1.0</c:v>
                </c:pt>
              </c:numCache>
            </c:numRef>
          </c:xVal>
          <c:yVal>
            <c:numRef>
              <c:f>ConDviSols!$W$11:$W$12</c:f>
              <c:numCache>
                <c:formatCode>General</c:formatCode>
                <c:ptCount val="2"/>
                <c:pt idx="0">
                  <c:v>22.3</c:v>
                </c:pt>
                <c:pt idx="1">
                  <c:v>22.3</c:v>
                </c:pt>
              </c:numCache>
            </c:numRef>
          </c:yVal>
          <c:smooth val="0"/>
        </c:ser>
        <c:ser>
          <c:idx val="8"/>
          <c:order val="8"/>
          <c:tx>
            <c:v>Original Seller 2</c:v>
          </c:tx>
          <c:spPr>
            <a:ln w="38100">
              <a:solidFill>
                <a:srgbClr val="0000FF"/>
              </a:solidFill>
              <a:prstDash val="solid"/>
            </a:ln>
          </c:spPr>
          <c:marker>
            <c:symbol val="dot"/>
            <c:size val="2"/>
            <c:spPr>
              <a:solidFill>
                <a:srgbClr val="0000FF"/>
              </a:solidFill>
              <a:ln>
                <a:solidFill>
                  <a:srgbClr val="0000FF"/>
                </a:solidFill>
                <a:prstDash val="solid"/>
              </a:ln>
            </c:spPr>
          </c:marker>
          <c:xVal>
            <c:numRef>
              <c:f>ConDviSols!$U$13:$U$14</c:f>
              <c:numCache>
                <c:formatCode>General</c:formatCode>
                <c:ptCount val="2"/>
                <c:pt idx="0">
                  <c:v>1.0</c:v>
                </c:pt>
                <c:pt idx="1">
                  <c:v>2.0</c:v>
                </c:pt>
              </c:numCache>
            </c:numRef>
          </c:xVal>
          <c:yVal>
            <c:numRef>
              <c:f>ConDviSols!$W$13:$W$14</c:f>
              <c:numCache>
                <c:formatCode>General</c:formatCode>
                <c:ptCount val="2"/>
                <c:pt idx="0">
                  <c:v>38.7</c:v>
                </c:pt>
                <c:pt idx="1">
                  <c:v>38.7</c:v>
                </c:pt>
              </c:numCache>
            </c:numRef>
          </c:yVal>
          <c:smooth val="0"/>
        </c:ser>
        <c:ser>
          <c:idx val="9"/>
          <c:order val="9"/>
          <c:tx>
            <c:v>Original Seller 3</c:v>
          </c:tx>
          <c:spPr>
            <a:ln w="38100">
              <a:solidFill>
                <a:srgbClr val="0000FF"/>
              </a:solidFill>
              <a:prstDash val="solid"/>
            </a:ln>
          </c:spPr>
          <c:marker>
            <c:symbol val="dot"/>
            <c:size val="2"/>
            <c:spPr>
              <a:solidFill>
                <a:srgbClr val="0000FF"/>
              </a:solidFill>
              <a:ln>
                <a:solidFill>
                  <a:srgbClr val="0000FF"/>
                </a:solidFill>
                <a:prstDash val="solid"/>
              </a:ln>
            </c:spPr>
          </c:marker>
          <c:xVal>
            <c:numRef>
              <c:f>ConDviSols!$U$15:$U$16</c:f>
              <c:numCache>
                <c:formatCode>General</c:formatCode>
                <c:ptCount val="2"/>
                <c:pt idx="0">
                  <c:v>2.0</c:v>
                </c:pt>
                <c:pt idx="1">
                  <c:v>3.0</c:v>
                </c:pt>
              </c:numCache>
            </c:numRef>
          </c:xVal>
          <c:yVal>
            <c:numRef>
              <c:f>ConDviSols!$W$15:$W$16</c:f>
              <c:numCache>
                <c:formatCode>General</c:formatCode>
                <c:ptCount val="2"/>
                <c:pt idx="0">
                  <c:v>60.1</c:v>
                </c:pt>
                <c:pt idx="1">
                  <c:v>60.1</c:v>
                </c:pt>
              </c:numCache>
            </c:numRef>
          </c:yVal>
          <c:smooth val="0"/>
        </c:ser>
        <c:ser>
          <c:idx val="10"/>
          <c:order val="10"/>
          <c:tx>
            <c:v>Original Seller 4</c:v>
          </c:tx>
          <c:spPr>
            <a:ln w="38100">
              <a:solidFill>
                <a:srgbClr val="0000FF"/>
              </a:solidFill>
              <a:prstDash val="solid"/>
            </a:ln>
          </c:spPr>
          <c:marker>
            <c:symbol val="dot"/>
            <c:size val="2"/>
            <c:spPr>
              <a:solidFill>
                <a:srgbClr val="0000FF"/>
              </a:solidFill>
              <a:ln>
                <a:solidFill>
                  <a:srgbClr val="0000FF"/>
                </a:solidFill>
                <a:prstDash val="solid"/>
              </a:ln>
            </c:spPr>
          </c:marker>
          <c:xVal>
            <c:numRef>
              <c:f>ConDviSols!$U$17:$U$18</c:f>
              <c:numCache>
                <c:formatCode>General</c:formatCode>
                <c:ptCount val="2"/>
                <c:pt idx="0">
                  <c:v>3.0</c:v>
                </c:pt>
                <c:pt idx="1">
                  <c:v>4.0</c:v>
                </c:pt>
              </c:numCache>
            </c:numRef>
          </c:xVal>
          <c:yVal>
            <c:numRef>
              <c:f>ConDviSols!$W$17:$W$18</c:f>
              <c:numCache>
                <c:formatCode>General</c:formatCode>
                <c:ptCount val="2"/>
                <c:pt idx="0">
                  <c:v>70.5</c:v>
                </c:pt>
                <c:pt idx="1">
                  <c:v>70.5</c:v>
                </c:pt>
              </c:numCache>
            </c:numRef>
          </c:yVal>
          <c:smooth val="0"/>
        </c:ser>
        <c:ser>
          <c:idx val="11"/>
          <c:order val="11"/>
          <c:tx>
            <c:v>Original Seller 5</c:v>
          </c:tx>
          <c:spPr>
            <a:ln w="38100">
              <a:solidFill>
                <a:srgbClr val="0000FF"/>
              </a:solidFill>
              <a:prstDash val="solid"/>
            </a:ln>
          </c:spPr>
          <c:marker>
            <c:symbol val="dot"/>
            <c:size val="2"/>
            <c:spPr>
              <a:solidFill>
                <a:srgbClr val="0000FF"/>
              </a:solidFill>
              <a:ln>
                <a:solidFill>
                  <a:srgbClr val="0000FF"/>
                </a:solidFill>
                <a:prstDash val="solid"/>
              </a:ln>
            </c:spPr>
          </c:marker>
          <c:xVal>
            <c:numRef>
              <c:f>ConDviSols!$U$19:$U$20</c:f>
              <c:numCache>
                <c:formatCode>General</c:formatCode>
                <c:ptCount val="2"/>
                <c:pt idx="0">
                  <c:v>4.0</c:v>
                </c:pt>
                <c:pt idx="1">
                  <c:v>5.0</c:v>
                </c:pt>
              </c:numCache>
            </c:numRef>
          </c:xVal>
          <c:yVal>
            <c:numRef>
              <c:f>ConDviSols!$W$19:$W$20</c:f>
              <c:numCache>
                <c:formatCode>General</c:formatCode>
                <c:ptCount val="2"/>
                <c:pt idx="0">
                  <c:v>89.0</c:v>
                </c:pt>
                <c:pt idx="1">
                  <c:v>89.0</c:v>
                </c:pt>
              </c:numCache>
            </c:numRef>
          </c:yVal>
          <c:smooth val="0"/>
        </c:ser>
        <c:ser>
          <c:idx val="12"/>
          <c:order val="12"/>
          <c:tx>
            <c:v>Population Size</c:v>
          </c:tx>
          <c:spPr>
            <a:ln w="25400">
              <a:solidFill>
                <a:srgbClr val="000000"/>
              </a:solidFill>
              <a:prstDash val="lgDashDotDot"/>
            </a:ln>
          </c:spPr>
          <c:marker>
            <c:symbol val="dot"/>
            <c:size val="2"/>
            <c:spPr>
              <a:solidFill>
                <a:srgbClr val="000000"/>
              </a:solidFill>
              <a:ln>
                <a:solidFill>
                  <a:srgbClr val="000000"/>
                </a:solidFill>
                <a:prstDash val="solid"/>
              </a:ln>
            </c:spPr>
          </c:marker>
          <c:dLbls>
            <c:dLbl>
              <c:idx val="1"/>
              <c:delete val="1"/>
            </c:dLbl>
            <c:spPr>
              <a:noFill/>
              <a:ln w="25400">
                <a:noFill/>
              </a:ln>
            </c:spPr>
            <c:dLblPos val="b"/>
            <c:showLegendKey val="0"/>
            <c:showVal val="0"/>
            <c:showCatName val="1"/>
            <c:showSerName val="0"/>
            <c:showPercent val="0"/>
            <c:showBubbleSize val="0"/>
            <c:showLeaderLines val="0"/>
          </c:dLbls>
          <c:xVal>
            <c:numRef>
              <c:f>ConDviSols!$U$1:$U$2</c:f>
              <c:numCache>
                <c:formatCode>General</c:formatCode>
                <c:ptCount val="2"/>
                <c:pt idx="0">
                  <c:v>5.0</c:v>
                </c:pt>
                <c:pt idx="1">
                  <c:v>5.0</c:v>
                </c:pt>
              </c:numCache>
            </c:numRef>
          </c:xVal>
          <c:yVal>
            <c:numRef>
              <c:f>ConDviSols!$V$1:$V$2</c:f>
              <c:numCache>
                <c:formatCode>General</c:formatCode>
                <c:ptCount val="2"/>
                <c:pt idx="0">
                  <c:v>0.0</c:v>
                </c:pt>
                <c:pt idx="1">
                  <c:v>89.0</c:v>
                </c:pt>
              </c:numCache>
            </c:numRef>
          </c:yVal>
          <c:smooth val="0"/>
        </c:ser>
        <c:dLbls>
          <c:showLegendKey val="0"/>
          <c:showVal val="0"/>
          <c:showCatName val="0"/>
          <c:showSerName val="0"/>
          <c:showPercent val="0"/>
          <c:showBubbleSize val="0"/>
        </c:dLbls>
        <c:axId val="2130648184"/>
        <c:axId val="2130654072"/>
      </c:scatterChart>
      <c:valAx>
        <c:axId val="2130648184"/>
        <c:scaling>
          <c:orientation val="minMax"/>
        </c:scaling>
        <c:delete val="1"/>
        <c:axPos val="b"/>
        <c:title>
          <c:tx>
            <c:rich>
              <a:bodyPr/>
              <a:lstStyle/>
              <a:p>
                <a:pPr>
                  <a:defRPr/>
                </a:pPr>
                <a:r>
                  <a:rPr lang="en-US"/>
                  <a:t>Quantity</a:t>
                </a:r>
              </a:p>
            </c:rich>
          </c:tx>
          <c:layout>
            <c:manualLayout>
              <c:xMode val="edge"/>
              <c:yMode val="edge"/>
              <c:x val="0.423470091062944"/>
              <c:y val="0.869404569081902"/>
            </c:manualLayout>
          </c:layout>
          <c:overlay val="0"/>
          <c:spPr>
            <a:noFill/>
            <a:ln w="25400">
              <a:noFill/>
            </a:ln>
          </c:spPr>
        </c:title>
        <c:numFmt formatCode="General" sourceLinked="1"/>
        <c:majorTickMark val="out"/>
        <c:minorTickMark val="none"/>
        <c:tickLblPos val="nextTo"/>
        <c:crossAx val="2130654072"/>
        <c:crosses val="autoZero"/>
        <c:crossBetween val="midCat"/>
        <c:majorUnit val="1.0"/>
      </c:valAx>
      <c:valAx>
        <c:axId val="2130654072"/>
        <c:scaling>
          <c:orientation val="minMax"/>
        </c:scaling>
        <c:delete val="0"/>
        <c:axPos val="l"/>
        <c:title>
          <c:tx>
            <c:rich>
              <a:bodyPr/>
              <a:lstStyle/>
              <a:p>
                <a:pPr>
                  <a:defRPr/>
                </a:pPr>
                <a:r>
                  <a:rPr lang="en-US"/>
                  <a:t>Price</a:t>
                </a:r>
              </a:p>
            </c:rich>
          </c:tx>
          <c:layout>
            <c:manualLayout>
              <c:xMode val="edge"/>
              <c:yMode val="edge"/>
              <c:x val="0.0425170774159582"/>
              <c:y val="0.4552247099913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130648184"/>
        <c:crosses val="autoZero"/>
        <c:crossBetween val="midCat"/>
      </c:valAx>
      <c:spPr>
        <a:solidFill>
          <a:srgbClr val="FFFFCC"/>
        </a:solidFill>
        <a:ln w="12700">
          <a:solidFill>
            <a:srgbClr val="808080"/>
          </a:solidFill>
          <a:prstDash val="solid"/>
        </a:ln>
      </c:spPr>
    </c:plotArea>
    <c:legend>
      <c:legendPos val="r"/>
      <c:layout>
        <c:manualLayout>
          <c:xMode val="edge"/>
          <c:yMode val="edge"/>
          <c:x val="0.780613541356992"/>
          <c:y val="0.0559702512284486"/>
          <c:w val="0.210884703983153"/>
          <c:h val="0.925374820310351"/>
        </c:manualLayout>
      </c:layout>
      <c:overlay val="0"/>
      <c:spPr>
        <a:solidFill>
          <a:srgbClr val="FFFFFF"/>
        </a:solidFill>
        <a:ln w="3175">
          <a:solidFill>
            <a:srgbClr val="000000"/>
          </a:solidFill>
          <a:prstDash val="solid"/>
        </a:ln>
      </c:spPr>
      <c:txPr>
        <a:bodyPr/>
        <a:lstStyle/>
        <a:p>
          <a:pPr>
            <a:defRPr sz="800" baseline="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The Effect of Scaling the Market</a:t>
            </a:r>
          </a:p>
        </c:rich>
      </c:tx>
      <c:layout>
        <c:manualLayout>
          <c:xMode val="edge"/>
          <c:yMode val="edge"/>
          <c:x val="0.290816809525154"/>
          <c:y val="0.0373135008189658"/>
        </c:manualLayout>
      </c:layout>
      <c:overlay val="0"/>
      <c:spPr>
        <a:noFill/>
        <a:ln w="25400">
          <a:noFill/>
        </a:ln>
      </c:spPr>
    </c:title>
    <c:autoTitleDeleted val="0"/>
    <c:plotArea>
      <c:layout>
        <c:manualLayout>
          <c:layoutTarget val="inner"/>
          <c:xMode val="edge"/>
          <c:yMode val="edge"/>
          <c:x val="0.170068309663833"/>
          <c:y val="0.26119450573276"/>
          <c:w val="0.603742499306606"/>
          <c:h val="0.559702512284487"/>
        </c:manualLayout>
      </c:layout>
      <c:scatterChart>
        <c:scatterStyle val="lineMarker"/>
        <c:varyColors val="0"/>
        <c:ser>
          <c:idx val="0"/>
          <c:order val="0"/>
          <c:tx>
            <c:v>Demand</c:v>
          </c:tx>
          <c:spPr>
            <a:ln w="3175">
              <a:solidFill>
                <a:srgbClr val="C0C0C0"/>
              </a:solidFill>
              <a:prstDash val="solid"/>
            </a:ln>
          </c:spPr>
          <c:marker>
            <c:symbol val="dot"/>
            <c:size val="2"/>
            <c:spPr>
              <a:solidFill>
                <a:srgbClr val="C0C0C0"/>
              </a:solidFill>
              <a:ln>
                <a:solidFill>
                  <a:srgbClr val="C0C0C0"/>
                </a:solidFill>
                <a:prstDash val="solid"/>
              </a:ln>
            </c:spPr>
          </c:marker>
          <c:xVal>
            <c:numRef>
              <c:f>ConDviSols!$Q$11:$Q$110</c:f>
              <c:numCache>
                <c:formatCode>General</c:formatCode>
                <c:ptCount val="100"/>
                <c:pt idx="0">
                  <c:v>0.0</c:v>
                </c:pt>
                <c:pt idx="1">
                  <c:v>1.0</c:v>
                </c:pt>
                <c:pt idx="2">
                  <c:v>1.0</c:v>
                </c:pt>
                <c:pt idx="3">
                  <c:v>2.0</c:v>
                </c:pt>
                <c:pt idx="4">
                  <c:v>2.0</c:v>
                </c:pt>
                <c:pt idx="5">
                  <c:v>3.0</c:v>
                </c:pt>
                <c:pt idx="6">
                  <c:v>3.0</c:v>
                </c:pt>
                <c:pt idx="7">
                  <c:v>4.0</c:v>
                </c:pt>
                <c:pt idx="8">
                  <c:v>4.0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numCache>
            </c:numRef>
          </c:xVal>
          <c:yVal>
            <c:numRef>
              <c:f>ConDviSols!$R$11:$R$110</c:f>
              <c:numCache>
                <c:formatCode>General</c:formatCode>
                <c:ptCount val="100"/>
                <c:pt idx="0">
                  <c:v>82.1</c:v>
                </c:pt>
                <c:pt idx="1">
                  <c:v>82.1</c:v>
                </c:pt>
                <c:pt idx="2">
                  <c:v>65.2</c:v>
                </c:pt>
                <c:pt idx="3">
                  <c:v>65.2</c:v>
                </c:pt>
                <c:pt idx="4">
                  <c:v>48.9</c:v>
                </c:pt>
                <c:pt idx="5">
                  <c:v>48.9</c:v>
                </c:pt>
                <c:pt idx="6">
                  <c:v>31.0</c:v>
                </c:pt>
                <c:pt idx="7">
                  <c:v>31.0</c:v>
                </c:pt>
                <c:pt idx="8">
                  <c:v>14.5</c:v>
                </c:pt>
                <c:pt idx="9">
                  <c:v>14.5</c:v>
                </c:pt>
                <c:pt idx="10">
                  <c:v>14.5</c:v>
                </c:pt>
                <c:pt idx="11">
                  <c:v>14.5</c:v>
                </c:pt>
                <c:pt idx="12">
                  <c:v>14.5</c:v>
                </c:pt>
                <c:pt idx="13">
                  <c:v>14.5</c:v>
                </c:pt>
                <c:pt idx="14">
                  <c:v>14.5</c:v>
                </c:pt>
                <c:pt idx="15">
                  <c:v>14.5</c:v>
                </c:pt>
                <c:pt idx="16">
                  <c:v>14.5</c:v>
                </c:pt>
                <c:pt idx="17">
                  <c:v>14.5</c:v>
                </c:pt>
                <c:pt idx="18">
                  <c:v>14.5</c:v>
                </c:pt>
                <c:pt idx="19">
                  <c:v>14.5</c:v>
                </c:pt>
                <c:pt idx="20">
                  <c:v>14.5</c:v>
                </c:pt>
                <c:pt idx="21">
                  <c:v>14.5</c:v>
                </c:pt>
                <c:pt idx="22">
                  <c:v>14.5</c:v>
                </c:pt>
                <c:pt idx="23">
                  <c:v>14.5</c:v>
                </c:pt>
                <c:pt idx="24">
                  <c:v>14.5</c:v>
                </c:pt>
                <c:pt idx="25">
                  <c:v>14.5</c:v>
                </c:pt>
                <c:pt idx="26">
                  <c:v>14.5</c:v>
                </c:pt>
                <c:pt idx="27">
                  <c:v>14.5</c:v>
                </c:pt>
                <c:pt idx="28">
                  <c:v>14.5</c:v>
                </c:pt>
                <c:pt idx="29">
                  <c:v>14.5</c:v>
                </c:pt>
                <c:pt idx="30">
                  <c:v>14.5</c:v>
                </c:pt>
                <c:pt idx="31">
                  <c:v>14.5</c:v>
                </c:pt>
                <c:pt idx="32">
                  <c:v>14.5</c:v>
                </c:pt>
                <c:pt idx="33">
                  <c:v>14.5</c:v>
                </c:pt>
                <c:pt idx="34">
                  <c:v>14.5</c:v>
                </c:pt>
                <c:pt idx="35">
                  <c:v>14.5</c:v>
                </c:pt>
                <c:pt idx="36">
                  <c:v>14.5</c:v>
                </c:pt>
                <c:pt idx="37">
                  <c:v>14.5</c:v>
                </c:pt>
                <c:pt idx="38">
                  <c:v>14.5</c:v>
                </c:pt>
                <c:pt idx="39">
                  <c:v>14.5</c:v>
                </c:pt>
                <c:pt idx="40">
                  <c:v>14.5</c:v>
                </c:pt>
                <c:pt idx="41">
                  <c:v>14.5</c:v>
                </c:pt>
                <c:pt idx="42">
                  <c:v>14.5</c:v>
                </c:pt>
                <c:pt idx="43">
                  <c:v>14.5</c:v>
                </c:pt>
                <c:pt idx="44">
                  <c:v>14.5</c:v>
                </c:pt>
                <c:pt idx="45">
                  <c:v>14.5</c:v>
                </c:pt>
                <c:pt idx="46">
                  <c:v>14.5</c:v>
                </c:pt>
                <c:pt idx="47">
                  <c:v>14.5</c:v>
                </c:pt>
                <c:pt idx="48">
                  <c:v>14.5</c:v>
                </c:pt>
                <c:pt idx="49">
                  <c:v>14.5</c:v>
                </c:pt>
                <c:pt idx="50">
                  <c:v>14.5</c:v>
                </c:pt>
                <c:pt idx="51">
                  <c:v>14.5</c:v>
                </c:pt>
                <c:pt idx="52">
                  <c:v>14.5</c:v>
                </c:pt>
                <c:pt idx="53">
                  <c:v>14.5</c:v>
                </c:pt>
                <c:pt idx="54">
                  <c:v>14.5</c:v>
                </c:pt>
                <c:pt idx="55">
                  <c:v>14.5</c:v>
                </c:pt>
                <c:pt idx="56">
                  <c:v>14.5</c:v>
                </c:pt>
                <c:pt idx="57">
                  <c:v>14.5</c:v>
                </c:pt>
                <c:pt idx="58">
                  <c:v>14.5</c:v>
                </c:pt>
                <c:pt idx="59">
                  <c:v>14.5</c:v>
                </c:pt>
                <c:pt idx="60">
                  <c:v>14.5</c:v>
                </c:pt>
                <c:pt idx="61">
                  <c:v>14.5</c:v>
                </c:pt>
                <c:pt idx="62">
                  <c:v>14.5</c:v>
                </c:pt>
                <c:pt idx="63">
                  <c:v>14.5</c:v>
                </c:pt>
                <c:pt idx="64">
                  <c:v>14.5</c:v>
                </c:pt>
                <c:pt idx="65">
                  <c:v>14.5</c:v>
                </c:pt>
                <c:pt idx="66">
                  <c:v>14.5</c:v>
                </c:pt>
                <c:pt idx="67">
                  <c:v>14.5</c:v>
                </c:pt>
                <c:pt idx="68">
                  <c:v>14.5</c:v>
                </c:pt>
                <c:pt idx="69">
                  <c:v>14.5</c:v>
                </c:pt>
                <c:pt idx="70">
                  <c:v>14.5</c:v>
                </c:pt>
                <c:pt idx="71">
                  <c:v>14.5</c:v>
                </c:pt>
                <c:pt idx="72">
                  <c:v>14.5</c:v>
                </c:pt>
                <c:pt idx="73">
                  <c:v>14.5</c:v>
                </c:pt>
                <c:pt idx="74">
                  <c:v>14.5</c:v>
                </c:pt>
                <c:pt idx="75">
                  <c:v>14.5</c:v>
                </c:pt>
                <c:pt idx="76">
                  <c:v>14.5</c:v>
                </c:pt>
                <c:pt idx="77">
                  <c:v>14.5</c:v>
                </c:pt>
                <c:pt idx="78">
                  <c:v>14.5</c:v>
                </c:pt>
                <c:pt idx="79">
                  <c:v>14.5</c:v>
                </c:pt>
                <c:pt idx="80">
                  <c:v>14.5</c:v>
                </c:pt>
                <c:pt idx="81">
                  <c:v>14.5</c:v>
                </c:pt>
                <c:pt idx="82">
                  <c:v>14.5</c:v>
                </c:pt>
                <c:pt idx="83">
                  <c:v>14.5</c:v>
                </c:pt>
                <c:pt idx="84">
                  <c:v>14.5</c:v>
                </c:pt>
                <c:pt idx="85">
                  <c:v>14.5</c:v>
                </c:pt>
                <c:pt idx="86">
                  <c:v>14.5</c:v>
                </c:pt>
                <c:pt idx="87">
                  <c:v>14.5</c:v>
                </c:pt>
                <c:pt idx="88">
                  <c:v>14.5</c:v>
                </c:pt>
                <c:pt idx="89">
                  <c:v>14.5</c:v>
                </c:pt>
                <c:pt idx="90">
                  <c:v>14.5</c:v>
                </c:pt>
                <c:pt idx="91">
                  <c:v>14.5</c:v>
                </c:pt>
                <c:pt idx="92">
                  <c:v>14.5</c:v>
                </c:pt>
                <c:pt idx="93">
                  <c:v>14.5</c:v>
                </c:pt>
                <c:pt idx="94">
                  <c:v>14.5</c:v>
                </c:pt>
                <c:pt idx="95">
                  <c:v>14.5</c:v>
                </c:pt>
                <c:pt idx="96">
                  <c:v>14.5</c:v>
                </c:pt>
                <c:pt idx="97">
                  <c:v>14.5</c:v>
                </c:pt>
                <c:pt idx="98">
                  <c:v>14.5</c:v>
                </c:pt>
                <c:pt idx="99">
                  <c:v>14.5</c:v>
                </c:pt>
              </c:numCache>
            </c:numRef>
          </c:yVal>
          <c:smooth val="0"/>
        </c:ser>
        <c:ser>
          <c:idx val="1"/>
          <c:order val="1"/>
          <c:tx>
            <c:v>Supply</c:v>
          </c:tx>
          <c:spPr>
            <a:ln w="3175">
              <a:solidFill>
                <a:srgbClr val="FF99CC"/>
              </a:solidFill>
              <a:prstDash val="solid"/>
            </a:ln>
          </c:spPr>
          <c:marker>
            <c:symbol val="dot"/>
            <c:size val="2"/>
            <c:spPr>
              <a:solidFill>
                <a:srgbClr val="FF99CC"/>
              </a:solidFill>
              <a:ln>
                <a:solidFill>
                  <a:srgbClr val="FF99CC"/>
                </a:solidFill>
                <a:prstDash val="solid"/>
              </a:ln>
            </c:spPr>
          </c:marker>
          <c:xVal>
            <c:numRef>
              <c:f>ConDviSols!$Q$11:$Q$110</c:f>
              <c:numCache>
                <c:formatCode>General</c:formatCode>
                <c:ptCount val="100"/>
                <c:pt idx="0">
                  <c:v>0.0</c:v>
                </c:pt>
                <c:pt idx="1">
                  <c:v>1.0</c:v>
                </c:pt>
                <c:pt idx="2">
                  <c:v>1.0</c:v>
                </c:pt>
                <c:pt idx="3">
                  <c:v>2.0</c:v>
                </c:pt>
                <c:pt idx="4">
                  <c:v>2.0</c:v>
                </c:pt>
                <c:pt idx="5">
                  <c:v>3.0</c:v>
                </c:pt>
                <c:pt idx="6">
                  <c:v>3.0</c:v>
                </c:pt>
                <c:pt idx="7">
                  <c:v>4.0</c:v>
                </c:pt>
                <c:pt idx="8">
                  <c:v>4.0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numCache>
            </c:numRef>
          </c:xVal>
          <c:yVal>
            <c:numRef>
              <c:f>ConDviSols!$S$11:$S$110</c:f>
              <c:numCache>
                <c:formatCode>General</c:formatCode>
                <c:ptCount val="100"/>
                <c:pt idx="0">
                  <c:v>22.3</c:v>
                </c:pt>
                <c:pt idx="1">
                  <c:v>22.3</c:v>
                </c:pt>
                <c:pt idx="2">
                  <c:v>38.7</c:v>
                </c:pt>
                <c:pt idx="3">
                  <c:v>38.7</c:v>
                </c:pt>
                <c:pt idx="4">
                  <c:v>60.1</c:v>
                </c:pt>
                <c:pt idx="5">
                  <c:v>60.1</c:v>
                </c:pt>
                <c:pt idx="6">
                  <c:v>70.5</c:v>
                </c:pt>
                <c:pt idx="7">
                  <c:v>70.5</c:v>
                </c:pt>
                <c:pt idx="8">
                  <c:v>89.0</c:v>
                </c:pt>
                <c:pt idx="9">
                  <c:v>89.0</c:v>
                </c:pt>
                <c:pt idx="10">
                  <c:v>89.0</c:v>
                </c:pt>
                <c:pt idx="11">
                  <c:v>89.0</c:v>
                </c:pt>
                <c:pt idx="12">
                  <c:v>89.0</c:v>
                </c:pt>
                <c:pt idx="13">
                  <c:v>89.0</c:v>
                </c:pt>
                <c:pt idx="14">
                  <c:v>89.0</c:v>
                </c:pt>
                <c:pt idx="15">
                  <c:v>89.0</c:v>
                </c:pt>
                <c:pt idx="16">
                  <c:v>89.0</c:v>
                </c:pt>
                <c:pt idx="17">
                  <c:v>89.0</c:v>
                </c:pt>
                <c:pt idx="18">
                  <c:v>89.0</c:v>
                </c:pt>
                <c:pt idx="19">
                  <c:v>89.0</c:v>
                </c:pt>
                <c:pt idx="20">
                  <c:v>89.0</c:v>
                </c:pt>
                <c:pt idx="21">
                  <c:v>89.0</c:v>
                </c:pt>
                <c:pt idx="22">
                  <c:v>89.0</c:v>
                </c:pt>
                <c:pt idx="23">
                  <c:v>89.0</c:v>
                </c:pt>
                <c:pt idx="24">
                  <c:v>89.0</c:v>
                </c:pt>
                <c:pt idx="25">
                  <c:v>89.0</c:v>
                </c:pt>
                <c:pt idx="26">
                  <c:v>89.0</c:v>
                </c:pt>
                <c:pt idx="27">
                  <c:v>89.0</c:v>
                </c:pt>
                <c:pt idx="28">
                  <c:v>89.0</c:v>
                </c:pt>
                <c:pt idx="29">
                  <c:v>89.0</c:v>
                </c:pt>
                <c:pt idx="30">
                  <c:v>89.0</c:v>
                </c:pt>
                <c:pt idx="31">
                  <c:v>89.0</c:v>
                </c:pt>
                <c:pt idx="32">
                  <c:v>89.0</c:v>
                </c:pt>
                <c:pt idx="33">
                  <c:v>89.0</c:v>
                </c:pt>
                <c:pt idx="34">
                  <c:v>89.0</c:v>
                </c:pt>
                <c:pt idx="35">
                  <c:v>89.0</c:v>
                </c:pt>
                <c:pt idx="36">
                  <c:v>89.0</c:v>
                </c:pt>
                <c:pt idx="37">
                  <c:v>89.0</c:v>
                </c:pt>
                <c:pt idx="38">
                  <c:v>89.0</c:v>
                </c:pt>
                <c:pt idx="39">
                  <c:v>89.0</c:v>
                </c:pt>
                <c:pt idx="40">
                  <c:v>89.0</c:v>
                </c:pt>
                <c:pt idx="41">
                  <c:v>89.0</c:v>
                </c:pt>
                <c:pt idx="42">
                  <c:v>89.0</c:v>
                </c:pt>
                <c:pt idx="43">
                  <c:v>89.0</c:v>
                </c:pt>
                <c:pt idx="44">
                  <c:v>89.0</c:v>
                </c:pt>
                <c:pt idx="45">
                  <c:v>89.0</c:v>
                </c:pt>
                <c:pt idx="46">
                  <c:v>89.0</c:v>
                </c:pt>
                <c:pt idx="47">
                  <c:v>89.0</c:v>
                </c:pt>
                <c:pt idx="48">
                  <c:v>89.0</c:v>
                </c:pt>
                <c:pt idx="49">
                  <c:v>89.0</c:v>
                </c:pt>
                <c:pt idx="50">
                  <c:v>89.0</c:v>
                </c:pt>
                <c:pt idx="51">
                  <c:v>89.0</c:v>
                </c:pt>
                <c:pt idx="52">
                  <c:v>89.0</c:v>
                </c:pt>
                <c:pt idx="53">
                  <c:v>89.0</c:v>
                </c:pt>
                <c:pt idx="54">
                  <c:v>89.0</c:v>
                </c:pt>
                <c:pt idx="55">
                  <c:v>89.0</c:v>
                </c:pt>
                <c:pt idx="56">
                  <c:v>89.0</c:v>
                </c:pt>
                <c:pt idx="57">
                  <c:v>89.0</c:v>
                </c:pt>
                <c:pt idx="58">
                  <c:v>89.0</c:v>
                </c:pt>
                <c:pt idx="59">
                  <c:v>89.0</c:v>
                </c:pt>
                <c:pt idx="60">
                  <c:v>89.0</c:v>
                </c:pt>
                <c:pt idx="61">
                  <c:v>89.0</c:v>
                </c:pt>
                <c:pt idx="62">
                  <c:v>89.0</c:v>
                </c:pt>
                <c:pt idx="63">
                  <c:v>89.0</c:v>
                </c:pt>
                <c:pt idx="64">
                  <c:v>89.0</c:v>
                </c:pt>
                <c:pt idx="65">
                  <c:v>89.0</c:v>
                </c:pt>
                <c:pt idx="66">
                  <c:v>89.0</c:v>
                </c:pt>
                <c:pt idx="67">
                  <c:v>89.0</c:v>
                </c:pt>
                <c:pt idx="68">
                  <c:v>89.0</c:v>
                </c:pt>
                <c:pt idx="69">
                  <c:v>89.0</c:v>
                </c:pt>
                <c:pt idx="70">
                  <c:v>89.0</c:v>
                </c:pt>
                <c:pt idx="71">
                  <c:v>89.0</c:v>
                </c:pt>
                <c:pt idx="72">
                  <c:v>89.0</c:v>
                </c:pt>
                <c:pt idx="73">
                  <c:v>89.0</c:v>
                </c:pt>
                <c:pt idx="74">
                  <c:v>89.0</c:v>
                </c:pt>
                <c:pt idx="75">
                  <c:v>89.0</c:v>
                </c:pt>
                <c:pt idx="76">
                  <c:v>89.0</c:v>
                </c:pt>
                <c:pt idx="77">
                  <c:v>89.0</c:v>
                </c:pt>
                <c:pt idx="78">
                  <c:v>89.0</c:v>
                </c:pt>
                <c:pt idx="79">
                  <c:v>89.0</c:v>
                </c:pt>
                <c:pt idx="80">
                  <c:v>89.0</c:v>
                </c:pt>
                <c:pt idx="81">
                  <c:v>89.0</c:v>
                </c:pt>
                <c:pt idx="82">
                  <c:v>89.0</c:v>
                </c:pt>
                <c:pt idx="83">
                  <c:v>89.0</c:v>
                </c:pt>
                <c:pt idx="84">
                  <c:v>89.0</c:v>
                </c:pt>
                <c:pt idx="85">
                  <c:v>89.0</c:v>
                </c:pt>
                <c:pt idx="86">
                  <c:v>89.0</c:v>
                </c:pt>
                <c:pt idx="87">
                  <c:v>89.0</c:v>
                </c:pt>
                <c:pt idx="88">
                  <c:v>89.0</c:v>
                </c:pt>
                <c:pt idx="89">
                  <c:v>89.0</c:v>
                </c:pt>
                <c:pt idx="90">
                  <c:v>89.0</c:v>
                </c:pt>
                <c:pt idx="91">
                  <c:v>89.0</c:v>
                </c:pt>
                <c:pt idx="92">
                  <c:v>89.0</c:v>
                </c:pt>
                <c:pt idx="93">
                  <c:v>89.0</c:v>
                </c:pt>
                <c:pt idx="94">
                  <c:v>89.0</c:v>
                </c:pt>
                <c:pt idx="95">
                  <c:v>89.0</c:v>
                </c:pt>
                <c:pt idx="96">
                  <c:v>89.0</c:v>
                </c:pt>
                <c:pt idx="97">
                  <c:v>89.0</c:v>
                </c:pt>
                <c:pt idx="98">
                  <c:v>89.0</c:v>
                </c:pt>
                <c:pt idx="99">
                  <c:v>89.0</c:v>
                </c:pt>
              </c:numCache>
            </c:numRef>
          </c:yVal>
          <c:smooth val="0"/>
        </c:ser>
        <c:ser>
          <c:idx val="2"/>
          <c:order val="2"/>
          <c:tx>
            <c:v>Original Buyer 1</c:v>
          </c:tx>
          <c:spPr>
            <a:ln w="38100">
              <a:solidFill>
                <a:srgbClr val="FF6600"/>
              </a:solidFill>
              <a:prstDash val="solid"/>
            </a:ln>
          </c:spPr>
          <c:marker>
            <c:symbol val="dot"/>
            <c:size val="2"/>
            <c:spPr>
              <a:solidFill>
                <a:srgbClr val="FF6600"/>
              </a:solidFill>
              <a:ln>
                <a:solidFill>
                  <a:srgbClr val="FF6600"/>
                </a:solidFill>
                <a:prstDash val="solid"/>
              </a:ln>
            </c:spPr>
          </c:marker>
          <c:xVal>
            <c:numRef>
              <c:f>ConDviSols!$U$11:$U$12</c:f>
              <c:numCache>
                <c:formatCode>General</c:formatCode>
                <c:ptCount val="2"/>
                <c:pt idx="0">
                  <c:v>0.0</c:v>
                </c:pt>
                <c:pt idx="1">
                  <c:v>1.0</c:v>
                </c:pt>
              </c:numCache>
            </c:numRef>
          </c:xVal>
          <c:yVal>
            <c:numRef>
              <c:f>ConDviSols!$V$11:$V$12</c:f>
              <c:numCache>
                <c:formatCode>General</c:formatCode>
                <c:ptCount val="2"/>
                <c:pt idx="0">
                  <c:v>82.1</c:v>
                </c:pt>
                <c:pt idx="1">
                  <c:v>82.1</c:v>
                </c:pt>
              </c:numCache>
            </c:numRef>
          </c:yVal>
          <c:smooth val="0"/>
        </c:ser>
        <c:ser>
          <c:idx val="3"/>
          <c:order val="3"/>
          <c:tx>
            <c:v>Original Buyer 2</c:v>
          </c:tx>
          <c:spPr>
            <a:ln w="38100">
              <a:solidFill>
                <a:srgbClr val="FF6600"/>
              </a:solidFill>
              <a:prstDash val="solid"/>
            </a:ln>
          </c:spPr>
          <c:marker>
            <c:symbol val="dot"/>
            <c:size val="2"/>
            <c:spPr>
              <a:solidFill>
                <a:srgbClr val="FF6600"/>
              </a:solidFill>
              <a:ln>
                <a:solidFill>
                  <a:srgbClr val="FF6600"/>
                </a:solidFill>
                <a:prstDash val="solid"/>
              </a:ln>
            </c:spPr>
          </c:marker>
          <c:xVal>
            <c:numRef>
              <c:f>ConDviSols!$U$13:$U$14</c:f>
              <c:numCache>
                <c:formatCode>General</c:formatCode>
                <c:ptCount val="2"/>
                <c:pt idx="0">
                  <c:v>1.0</c:v>
                </c:pt>
                <c:pt idx="1">
                  <c:v>2.0</c:v>
                </c:pt>
              </c:numCache>
            </c:numRef>
          </c:xVal>
          <c:yVal>
            <c:numRef>
              <c:f>ConDviSols!$V$13:$V$14</c:f>
              <c:numCache>
                <c:formatCode>General</c:formatCode>
                <c:ptCount val="2"/>
                <c:pt idx="0">
                  <c:v>65.2</c:v>
                </c:pt>
                <c:pt idx="1">
                  <c:v>65.2</c:v>
                </c:pt>
              </c:numCache>
            </c:numRef>
          </c:yVal>
          <c:smooth val="0"/>
        </c:ser>
        <c:ser>
          <c:idx val="4"/>
          <c:order val="4"/>
          <c:tx>
            <c:v>Original Buyer 3</c:v>
          </c:tx>
          <c:spPr>
            <a:ln w="38100">
              <a:solidFill>
                <a:srgbClr val="FF6600"/>
              </a:solidFill>
              <a:prstDash val="solid"/>
            </a:ln>
          </c:spPr>
          <c:marker>
            <c:symbol val="dot"/>
            <c:size val="2"/>
            <c:spPr>
              <a:solidFill>
                <a:srgbClr val="FF6600"/>
              </a:solidFill>
              <a:ln>
                <a:solidFill>
                  <a:srgbClr val="FF6600"/>
                </a:solidFill>
                <a:prstDash val="solid"/>
              </a:ln>
            </c:spPr>
          </c:marker>
          <c:xVal>
            <c:numRef>
              <c:f>ConDviSols!$U$15:$U$16</c:f>
              <c:numCache>
                <c:formatCode>General</c:formatCode>
                <c:ptCount val="2"/>
                <c:pt idx="0">
                  <c:v>2.0</c:v>
                </c:pt>
                <c:pt idx="1">
                  <c:v>3.0</c:v>
                </c:pt>
              </c:numCache>
            </c:numRef>
          </c:xVal>
          <c:yVal>
            <c:numRef>
              <c:f>ConDviSols!$V$15:$V$16</c:f>
              <c:numCache>
                <c:formatCode>General</c:formatCode>
                <c:ptCount val="2"/>
                <c:pt idx="0">
                  <c:v>48.9</c:v>
                </c:pt>
                <c:pt idx="1">
                  <c:v>48.9</c:v>
                </c:pt>
              </c:numCache>
            </c:numRef>
          </c:yVal>
          <c:smooth val="0"/>
        </c:ser>
        <c:ser>
          <c:idx val="5"/>
          <c:order val="5"/>
          <c:tx>
            <c:v>Original Buyer 4</c:v>
          </c:tx>
          <c:spPr>
            <a:ln w="38100">
              <a:solidFill>
                <a:srgbClr val="FF6600"/>
              </a:solidFill>
              <a:prstDash val="solid"/>
            </a:ln>
          </c:spPr>
          <c:marker>
            <c:symbol val="dot"/>
            <c:size val="2"/>
            <c:spPr>
              <a:solidFill>
                <a:srgbClr val="FF6600"/>
              </a:solidFill>
              <a:ln>
                <a:solidFill>
                  <a:srgbClr val="FF6600"/>
                </a:solidFill>
                <a:prstDash val="solid"/>
              </a:ln>
            </c:spPr>
          </c:marker>
          <c:xVal>
            <c:numRef>
              <c:f>ConDviSols!$U$17:$U$18</c:f>
              <c:numCache>
                <c:formatCode>General</c:formatCode>
                <c:ptCount val="2"/>
                <c:pt idx="0">
                  <c:v>3.0</c:v>
                </c:pt>
                <c:pt idx="1">
                  <c:v>4.0</c:v>
                </c:pt>
              </c:numCache>
            </c:numRef>
          </c:xVal>
          <c:yVal>
            <c:numRef>
              <c:f>ConDviSols!$V$17:$V$18</c:f>
              <c:numCache>
                <c:formatCode>General</c:formatCode>
                <c:ptCount val="2"/>
                <c:pt idx="0">
                  <c:v>31.0</c:v>
                </c:pt>
                <c:pt idx="1">
                  <c:v>31.0</c:v>
                </c:pt>
              </c:numCache>
            </c:numRef>
          </c:yVal>
          <c:smooth val="0"/>
        </c:ser>
        <c:ser>
          <c:idx val="6"/>
          <c:order val="6"/>
          <c:tx>
            <c:v>Original Buyer 5</c:v>
          </c:tx>
          <c:spPr>
            <a:ln w="38100">
              <a:solidFill>
                <a:srgbClr val="FF6600"/>
              </a:solidFill>
              <a:prstDash val="solid"/>
            </a:ln>
          </c:spPr>
          <c:marker>
            <c:symbol val="dot"/>
            <c:size val="2"/>
            <c:spPr>
              <a:solidFill>
                <a:srgbClr val="FF6600"/>
              </a:solidFill>
              <a:ln>
                <a:solidFill>
                  <a:srgbClr val="FF6600"/>
                </a:solidFill>
                <a:prstDash val="solid"/>
              </a:ln>
            </c:spPr>
          </c:marker>
          <c:xVal>
            <c:numRef>
              <c:f>ConDviSols!$U$19:$U$20</c:f>
              <c:numCache>
                <c:formatCode>General</c:formatCode>
                <c:ptCount val="2"/>
                <c:pt idx="0">
                  <c:v>4.0</c:v>
                </c:pt>
                <c:pt idx="1">
                  <c:v>5.0</c:v>
                </c:pt>
              </c:numCache>
            </c:numRef>
          </c:xVal>
          <c:yVal>
            <c:numRef>
              <c:f>ConDviSols!$V$19:$V$20</c:f>
              <c:numCache>
                <c:formatCode>General</c:formatCode>
                <c:ptCount val="2"/>
                <c:pt idx="0">
                  <c:v>14.5</c:v>
                </c:pt>
                <c:pt idx="1">
                  <c:v>14.5</c:v>
                </c:pt>
              </c:numCache>
            </c:numRef>
          </c:yVal>
          <c:smooth val="0"/>
        </c:ser>
        <c:ser>
          <c:idx val="7"/>
          <c:order val="7"/>
          <c:tx>
            <c:v>Original Seller 1</c:v>
          </c:tx>
          <c:spPr>
            <a:ln w="38100">
              <a:solidFill>
                <a:srgbClr val="0000FF"/>
              </a:solidFill>
              <a:prstDash val="solid"/>
            </a:ln>
          </c:spPr>
          <c:marker>
            <c:symbol val="dot"/>
            <c:size val="2"/>
            <c:spPr>
              <a:solidFill>
                <a:srgbClr val="0000FF"/>
              </a:solidFill>
              <a:ln>
                <a:solidFill>
                  <a:srgbClr val="0000FF"/>
                </a:solidFill>
                <a:prstDash val="solid"/>
              </a:ln>
            </c:spPr>
          </c:marker>
          <c:xVal>
            <c:numRef>
              <c:f>ConDviSols!$U$11:$U$12</c:f>
              <c:numCache>
                <c:formatCode>General</c:formatCode>
                <c:ptCount val="2"/>
                <c:pt idx="0">
                  <c:v>0.0</c:v>
                </c:pt>
                <c:pt idx="1">
                  <c:v>1.0</c:v>
                </c:pt>
              </c:numCache>
            </c:numRef>
          </c:xVal>
          <c:yVal>
            <c:numRef>
              <c:f>ConDviSols!$W$11:$W$12</c:f>
              <c:numCache>
                <c:formatCode>General</c:formatCode>
                <c:ptCount val="2"/>
                <c:pt idx="0">
                  <c:v>22.3</c:v>
                </c:pt>
                <c:pt idx="1">
                  <c:v>22.3</c:v>
                </c:pt>
              </c:numCache>
            </c:numRef>
          </c:yVal>
          <c:smooth val="0"/>
        </c:ser>
        <c:ser>
          <c:idx val="8"/>
          <c:order val="8"/>
          <c:tx>
            <c:v>Original Seller 2</c:v>
          </c:tx>
          <c:spPr>
            <a:ln w="38100">
              <a:solidFill>
                <a:srgbClr val="0000FF"/>
              </a:solidFill>
              <a:prstDash val="solid"/>
            </a:ln>
          </c:spPr>
          <c:marker>
            <c:symbol val="dot"/>
            <c:size val="2"/>
            <c:spPr>
              <a:solidFill>
                <a:srgbClr val="0000FF"/>
              </a:solidFill>
              <a:ln>
                <a:solidFill>
                  <a:srgbClr val="0000FF"/>
                </a:solidFill>
                <a:prstDash val="solid"/>
              </a:ln>
            </c:spPr>
          </c:marker>
          <c:xVal>
            <c:numRef>
              <c:f>ConDviSols!$U$13:$U$14</c:f>
              <c:numCache>
                <c:formatCode>General</c:formatCode>
                <c:ptCount val="2"/>
                <c:pt idx="0">
                  <c:v>1.0</c:v>
                </c:pt>
                <c:pt idx="1">
                  <c:v>2.0</c:v>
                </c:pt>
              </c:numCache>
            </c:numRef>
          </c:xVal>
          <c:yVal>
            <c:numRef>
              <c:f>ConDviSols!$W$13:$W$14</c:f>
              <c:numCache>
                <c:formatCode>General</c:formatCode>
                <c:ptCount val="2"/>
                <c:pt idx="0">
                  <c:v>38.7</c:v>
                </c:pt>
                <c:pt idx="1">
                  <c:v>38.7</c:v>
                </c:pt>
              </c:numCache>
            </c:numRef>
          </c:yVal>
          <c:smooth val="0"/>
        </c:ser>
        <c:ser>
          <c:idx val="9"/>
          <c:order val="9"/>
          <c:tx>
            <c:v>Original Seller 3</c:v>
          </c:tx>
          <c:spPr>
            <a:ln w="38100">
              <a:solidFill>
                <a:srgbClr val="0000FF"/>
              </a:solidFill>
              <a:prstDash val="solid"/>
            </a:ln>
          </c:spPr>
          <c:marker>
            <c:symbol val="dot"/>
            <c:size val="2"/>
            <c:spPr>
              <a:solidFill>
                <a:srgbClr val="0000FF"/>
              </a:solidFill>
              <a:ln>
                <a:solidFill>
                  <a:srgbClr val="0000FF"/>
                </a:solidFill>
                <a:prstDash val="solid"/>
              </a:ln>
            </c:spPr>
          </c:marker>
          <c:xVal>
            <c:numRef>
              <c:f>ConDviSols!$U$15:$U$16</c:f>
              <c:numCache>
                <c:formatCode>General</c:formatCode>
                <c:ptCount val="2"/>
                <c:pt idx="0">
                  <c:v>2.0</c:v>
                </c:pt>
                <c:pt idx="1">
                  <c:v>3.0</c:v>
                </c:pt>
              </c:numCache>
            </c:numRef>
          </c:xVal>
          <c:yVal>
            <c:numRef>
              <c:f>ConDviSols!$W$15:$W$16</c:f>
              <c:numCache>
                <c:formatCode>General</c:formatCode>
                <c:ptCount val="2"/>
                <c:pt idx="0">
                  <c:v>60.1</c:v>
                </c:pt>
                <c:pt idx="1">
                  <c:v>60.1</c:v>
                </c:pt>
              </c:numCache>
            </c:numRef>
          </c:yVal>
          <c:smooth val="0"/>
        </c:ser>
        <c:ser>
          <c:idx val="10"/>
          <c:order val="10"/>
          <c:tx>
            <c:v>Original Seller 4</c:v>
          </c:tx>
          <c:spPr>
            <a:ln w="38100">
              <a:solidFill>
                <a:srgbClr val="0000FF"/>
              </a:solidFill>
              <a:prstDash val="solid"/>
            </a:ln>
          </c:spPr>
          <c:marker>
            <c:symbol val="dot"/>
            <c:size val="2"/>
            <c:spPr>
              <a:solidFill>
                <a:srgbClr val="0000FF"/>
              </a:solidFill>
              <a:ln>
                <a:solidFill>
                  <a:srgbClr val="0000FF"/>
                </a:solidFill>
                <a:prstDash val="solid"/>
              </a:ln>
            </c:spPr>
          </c:marker>
          <c:xVal>
            <c:numRef>
              <c:f>ConDviSols!$U$17:$U$18</c:f>
              <c:numCache>
                <c:formatCode>General</c:formatCode>
                <c:ptCount val="2"/>
                <c:pt idx="0">
                  <c:v>3.0</c:v>
                </c:pt>
                <c:pt idx="1">
                  <c:v>4.0</c:v>
                </c:pt>
              </c:numCache>
            </c:numRef>
          </c:xVal>
          <c:yVal>
            <c:numRef>
              <c:f>ConDviSols!$W$17:$W$18</c:f>
              <c:numCache>
                <c:formatCode>General</c:formatCode>
                <c:ptCount val="2"/>
                <c:pt idx="0">
                  <c:v>70.5</c:v>
                </c:pt>
                <c:pt idx="1">
                  <c:v>70.5</c:v>
                </c:pt>
              </c:numCache>
            </c:numRef>
          </c:yVal>
          <c:smooth val="0"/>
        </c:ser>
        <c:ser>
          <c:idx val="11"/>
          <c:order val="11"/>
          <c:tx>
            <c:v>Original Seller 5</c:v>
          </c:tx>
          <c:spPr>
            <a:ln w="38100">
              <a:solidFill>
                <a:srgbClr val="0000FF"/>
              </a:solidFill>
              <a:prstDash val="solid"/>
            </a:ln>
          </c:spPr>
          <c:marker>
            <c:symbol val="dot"/>
            <c:size val="2"/>
            <c:spPr>
              <a:solidFill>
                <a:srgbClr val="0000FF"/>
              </a:solidFill>
              <a:ln>
                <a:solidFill>
                  <a:srgbClr val="0000FF"/>
                </a:solidFill>
                <a:prstDash val="solid"/>
              </a:ln>
            </c:spPr>
          </c:marker>
          <c:xVal>
            <c:numRef>
              <c:f>ConDviSols!$U$19:$U$20</c:f>
              <c:numCache>
                <c:formatCode>General</c:formatCode>
                <c:ptCount val="2"/>
                <c:pt idx="0">
                  <c:v>4.0</c:v>
                </c:pt>
                <c:pt idx="1">
                  <c:v>5.0</c:v>
                </c:pt>
              </c:numCache>
            </c:numRef>
          </c:xVal>
          <c:yVal>
            <c:numRef>
              <c:f>ConDviSols!$W$19:$W$20</c:f>
              <c:numCache>
                <c:formatCode>General</c:formatCode>
                <c:ptCount val="2"/>
                <c:pt idx="0">
                  <c:v>89.0</c:v>
                </c:pt>
                <c:pt idx="1">
                  <c:v>89.0</c:v>
                </c:pt>
              </c:numCache>
            </c:numRef>
          </c:yVal>
          <c:smooth val="0"/>
        </c:ser>
        <c:ser>
          <c:idx val="12"/>
          <c:order val="12"/>
          <c:tx>
            <c:v>Population Size</c:v>
          </c:tx>
          <c:spPr>
            <a:ln w="25400">
              <a:solidFill>
                <a:srgbClr val="000000"/>
              </a:solidFill>
              <a:prstDash val="lgDashDotDot"/>
            </a:ln>
          </c:spPr>
          <c:marker>
            <c:symbol val="dot"/>
            <c:size val="2"/>
            <c:spPr>
              <a:solidFill>
                <a:srgbClr val="000000"/>
              </a:solidFill>
              <a:ln>
                <a:solidFill>
                  <a:srgbClr val="000000"/>
                </a:solidFill>
                <a:prstDash val="solid"/>
              </a:ln>
            </c:spPr>
          </c:marker>
          <c:dLbls>
            <c:dLbl>
              <c:idx val="1"/>
              <c:delete val="1"/>
            </c:dLbl>
            <c:spPr>
              <a:noFill/>
              <a:ln w="25400">
                <a:noFill/>
              </a:ln>
            </c:spPr>
            <c:txPr>
              <a:bodyPr/>
              <a:lstStyle/>
              <a:p>
                <a:pPr>
                  <a:defRPr sz="975" b="1" i="0" u="none" strike="noStrike" baseline="0">
                    <a:solidFill>
                      <a:srgbClr val="000000"/>
                    </a:solidFill>
                    <a:latin typeface="Arial"/>
                    <a:ea typeface="Arial"/>
                    <a:cs typeface="Arial"/>
                  </a:defRPr>
                </a:pPr>
                <a:endParaRPr lang="en-US"/>
              </a:p>
            </c:txPr>
            <c:dLblPos val="b"/>
            <c:showLegendKey val="0"/>
            <c:showVal val="0"/>
            <c:showCatName val="1"/>
            <c:showSerName val="0"/>
            <c:showPercent val="0"/>
            <c:showBubbleSize val="0"/>
            <c:showLeaderLines val="0"/>
          </c:dLbls>
          <c:xVal>
            <c:numRef>
              <c:f>ConDviSols!$U$1:$U$2</c:f>
              <c:numCache>
                <c:formatCode>General</c:formatCode>
                <c:ptCount val="2"/>
                <c:pt idx="0">
                  <c:v>5.0</c:v>
                </c:pt>
                <c:pt idx="1">
                  <c:v>5.0</c:v>
                </c:pt>
              </c:numCache>
            </c:numRef>
          </c:xVal>
          <c:yVal>
            <c:numRef>
              <c:f>ConDviSols!$V$1:$V$2</c:f>
              <c:numCache>
                <c:formatCode>General</c:formatCode>
                <c:ptCount val="2"/>
                <c:pt idx="0">
                  <c:v>0.0</c:v>
                </c:pt>
                <c:pt idx="1">
                  <c:v>89.0</c:v>
                </c:pt>
              </c:numCache>
            </c:numRef>
          </c:yVal>
          <c:smooth val="0"/>
        </c:ser>
        <c:dLbls>
          <c:showLegendKey val="0"/>
          <c:showVal val="0"/>
          <c:showCatName val="0"/>
          <c:showSerName val="0"/>
          <c:showPercent val="0"/>
          <c:showBubbleSize val="0"/>
        </c:dLbls>
        <c:axId val="2124288600"/>
        <c:axId val="2124290376"/>
      </c:scatterChart>
      <c:valAx>
        <c:axId val="2124288600"/>
        <c:scaling>
          <c:orientation val="minMax"/>
        </c:scaling>
        <c:delete val="1"/>
        <c:axPos val="b"/>
        <c:title>
          <c:tx>
            <c:rich>
              <a:bodyPr/>
              <a:lstStyle/>
              <a:p>
                <a:pPr>
                  <a:defRPr sz="975" b="1" i="0" u="none" strike="noStrike" baseline="0">
                    <a:solidFill>
                      <a:srgbClr val="000000"/>
                    </a:solidFill>
                    <a:latin typeface="Arial"/>
                    <a:ea typeface="Arial"/>
                    <a:cs typeface="Arial"/>
                  </a:defRPr>
                </a:pPr>
                <a:r>
                  <a:rPr lang="en-US"/>
                  <a:t>Quantity</a:t>
                </a:r>
              </a:p>
            </c:rich>
          </c:tx>
          <c:layout>
            <c:manualLayout>
              <c:xMode val="edge"/>
              <c:yMode val="edge"/>
              <c:x val="0.423470091062944"/>
              <c:y val="0.869404569081902"/>
            </c:manualLayout>
          </c:layout>
          <c:overlay val="0"/>
          <c:spPr>
            <a:noFill/>
            <a:ln w="25400">
              <a:noFill/>
            </a:ln>
          </c:spPr>
        </c:title>
        <c:numFmt formatCode="General" sourceLinked="1"/>
        <c:majorTickMark val="out"/>
        <c:minorTickMark val="none"/>
        <c:tickLblPos val="nextTo"/>
        <c:crossAx val="2124290376"/>
        <c:crosses val="autoZero"/>
        <c:crossBetween val="midCat"/>
        <c:majorUnit val="1.0"/>
      </c:valAx>
      <c:valAx>
        <c:axId val="212429037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a:t>Price</a:t>
                </a:r>
              </a:p>
            </c:rich>
          </c:tx>
          <c:layout>
            <c:manualLayout>
              <c:xMode val="edge"/>
              <c:yMode val="edge"/>
              <c:x val="0.0425170774159582"/>
              <c:y val="0.4552247099913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24288600"/>
        <c:crosses val="autoZero"/>
        <c:crossBetween val="midCat"/>
      </c:valAx>
      <c:spPr>
        <a:solidFill>
          <a:srgbClr val="FFFFCC"/>
        </a:solidFill>
        <a:ln w="12700">
          <a:solidFill>
            <a:srgbClr val="808080"/>
          </a:solidFill>
          <a:prstDash val="solid"/>
        </a:ln>
      </c:spPr>
    </c:plotArea>
    <c:legend>
      <c:legendPos val="r"/>
      <c:layout>
        <c:manualLayout>
          <c:xMode val="edge"/>
          <c:yMode val="edge"/>
          <c:x val="0.780613541356992"/>
          <c:y val="0.0559702512284486"/>
          <c:w val="0.210884703983153"/>
          <c:h val="0.9253748203103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n-US"/>
              <a:t>Playing the Market Maker</a:t>
            </a:r>
          </a:p>
        </c:rich>
      </c:tx>
      <c:layout>
        <c:manualLayout>
          <c:xMode val="edge"/>
          <c:yMode val="edge"/>
          <c:x val="0.301310043668122"/>
          <c:y val="0.035714347995166"/>
        </c:manualLayout>
      </c:layout>
      <c:overlay val="0"/>
      <c:spPr>
        <a:noFill/>
        <a:ln w="25400">
          <a:noFill/>
        </a:ln>
      </c:spPr>
    </c:title>
    <c:autoTitleDeleted val="0"/>
    <c:plotArea>
      <c:layout>
        <c:manualLayout>
          <c:layoutTarget val="inner"/>
          <c:xMode val="edge"/>
          <c:yMode val="edge"/>
          <c:x val="0.185646282851007"/>
          <c:y val="0.15824043934462"/>
          <c:w val="0.631784180386543"/>
          <c:h val="0.662521503518758"/>
        </c:manualLayout>
      </c:layout>
      <c:scatterChart>
        <c:scatterStyle val="lineMarker"/>
        <c:varyColors val="0"/>
        <c:ser>
          <c:idx val="0"/>
          <c:order val="0"/>
          <c:tx>
            <c:v>Supply</c:v>
          </c:tx>
          <c:spPr>
            <a:ln w="28575">
              <a:noFill/>
            </a:ln>
          </c:spPr>
          <c:marker>
            <c:symbol val="diamond"/>
            <c:size val="5"/>
            <c:spPr>
              <a:solidFill>
                <a:srgbClr val="000080"/>
              </a:solidFill>
              <a:ln>
                <a:solidFill>
                  <a:srgbClr val="000080"/>
                </a:solidFill>
                <a:prstDash val="solid"/>
              </a:ln>
            </c:spPr>
          </c:marker>
          <c:xVal>
            <c:numRef>
              <c:f>MarketMaker!$D$13:$D$22</c:f>
              <c:numCache>
                <c:formatCode>General</c:formatCode>
                <c:ptCount val="10"/>
                <c:pt idx="0">
                  <c:v>-10.0</c:v>
                </c:pt>
                <c:pt idx="1">
                  <c:v>-10.0</c:v>
                </c:pt>
                <c:pt idx="2">
                  <c:v>-10.0</c:v>
                </c:pt>
                <c:pt idx="3">
                  <c:v>-10.0</c:v>
                </c:pt>
                <c:pt idx="4">
                  <c:v>-10.0</c:v>
                </c:pt>
                <c:pt idx="5">
                  <c:v>-10.0</c:v>
                </c:pt>
                <c:pt idx="6">
                  <c:v>-10.0</c:v>
                </c:pt>
                <c:pt idx="7">
                  <c:v>-10.0</c:v>
                </c:pt>
                <c:pt idx="8">
                  <c:v>-10.0</c:v>
                </c:pt>
                <c:pt idx="9">
                  <c:v>-10.0</c:v>
                </c:pt>
              </c:numCache>
            </c:numRef>
          </c:xVal>
          <c:yVal>
            <c:numRef>
              <c:f>MarketMaker!$C$13:$C$22</c:f>
              <c:numCache>
                <c:formatCode>"$"#,##0.00</c:formatCode>
                <c:ptCount val="10"/>
                <c:pt idx="0">
                  <c:v>6.0</c:v>
                </c:pt>
                <c:pt idx="1">
                  <c:v>-10.0</c:v>
                </c:pt>
                <c:pt idx="2">
                  <c:v>-10.0</c:v>
                </c:pt>
                <c:pt idx="3">
                  <c:v>-10.0</c:v>
                </c:pt>
                <c:pt idx="4">
                  <c:v>-10.0</c:v>
                </c:pt>
                <c:pt idx="5">
                  <c:v>-10.0</c:v>
                </c:pt>
                <c:pt idx="6">
                  <c:v>-10.0</c:v>
                </c:pt>
                <c:pt idx="7">
                  <c:v>-10.0</c:v>
                </c:pt>
                <c:pt idx="8">
                  <c:v>-10.0</c:v>
                </c:pt>
                <c:pt idx="9">
                  <c:v>-10.0</c:v>
                </c:pt>
              </c:numCache>
            </c:numRef>
          </c:yVal>
          <c:smooth val="0"/>
        </c:ser>
        <c:ser>
          <c:idx val="1"/>
          <c:order val="1"/>
          <c:tx>
            <c:v>Demand</c:v>
          </c:tx>
          <c:spPr>
            <a:ln w="28575">
              <a:noFill/>
            </a:ln>
          </c:spPr>
          <c:marker>
            <c:symbol val="square"/>
            <c:size val="5"/>
            <c:spPr>
              <a:solidFill>
                <a:srgbClr val="FF00FF"/>
              </a:solidFill>
              <a:ln>
                <a:solidFill>
                  <a:srgbClr val="FF00FF"/>
                </a:solidFill>
                <a:prstDash val="solid"/>
              </a:ln>
            </c:spPr>
          </c:marker>
          <c:xVal>
            <c:numRef>
              <c:f>MarketMaker!$E$13:$E$22</c:f>
              <c:numCache>
                <c:formatCode>General</c:formatCode>
                <c:ptCount val="10"/>
                <c:pt idx="0">
                  <c:v>-10.0</c:v>
                </c:pt>
                <c:pt idx="1">
                  <c:v>-10.0</c:v>
                </c:pt>
                <c:pt idx="2">
                  <c:v>-10.0</c:v>
                </c:pt>
                <c:pt idx="3">
                  <c:v>-10.0</c:v>
                </c:pt>
                <c:pt idx="4">
                  <c:v>-10.0</c:v>
                </c:pt>
                <c:pt idx="5">
                  <c:v>-10.0</c:v>
                </c:pt>
                <c:pt idx="6">
                  <c:v>-10.0</c:v>
                </c:pt>
                <c:pt idx="7">
                  <c:v>-10.0</c:v>
                </c:pt>
                <c:pt idx="8">
                  <c:v>-10.0</c:v>
                </c:pt>
                <c:pt idx="9">
                  <c:v>-10.0</c:v>
                </c:pt>
              </c:numCache>
            </c:numRef>
          </c:xVal>
          <c:yVal>
            <c:numRef>
              <c:f>MarketMaker!$C$13:$C$22</c:f>
              <c:numCache>
                <c:formatCode>"$"#,##0.00</c:formatCode>
                <c:ptCount val="10"/>
                <c:pt idx="0">
                  <c:v>6.0</c:v>
                </c:pt>
                <c:pt idx="1">
                  <c:v>-10.0</c:v>
                </c:pt>
                <c:pt idx="2">
                  <c:v>-10.0</c:v>
                </c:pt>
                <c:pt idx="3">
                  <c:v>-10.0</c:v>
                </c:pt>
                <c:pt idx="4">
                  <c:v>-10.0</c:v>
                </c:pt>
                <c:pt idx="5">
                  <c:v>-10.0</c:v>
                </c:pt>
                <c:pt idx="6">
                  <c:v>-10.0</c:v>
                </c:pt>
                <c:pt idx="7">
                  <c:v>-10.0</c:v>
                </c:pt>
                <c:pt idx="8">
                  <c:v>-10.0</c:v>
                </c:pt>
                <c:pt idx="9">
                  <c:v>-10.0</c:v>
                </c:pt>
              </c:numCache>
            </c:numRef>
          </c:yVal>
          <c:smooth val="0"/>
        </c:ser>
        <c:dLbls>
          <c:showLegendKey val="0"/>
          <c:showVal val="0"/>
          <c:showCatName val="0"/>
          <c:showSerName val="0"/>
          <c:showPercent val="0"/>
          <c:showBubbleSize val="0"/>
        </c:dLbls>
        <c:axId val="2129071880"/>
        <c:axId val="2128692600"/>
      </c:scatterChart>
      <c:valAx>
        <c:axId val="2129071880"/>
        <c:scaling>
          <c:orientation val="minMax"/>
          <c:min val="0.0"/>
        </c:scaling>
        <c:delete val="0"/>
        <c:axPos val="b"/>
        <c:title>
          <c:tx>
            <c:rich>
              <a:bodyPr/>
              <a:lstStyle/>
              <a:p>
                <a:pPr>
                  <a:defRPr sz="925" b="1" i="0" u="none" strike="noStrike" baseline="0">
                    <a:solidFill>
                      <a:srgbClr val="000000"/>
                    </a:solidFill>
                    <a:latin typeface="Arial"/>
                    <a:ea typeface="Arial"/>
                    <a:cs typeface="Arial"/>
                  </a:defRPr>
                </a:pPr>
                <a:r>
                  <a:rPr lang="en-US"/>
                  <a:t>Quantity</a:t>
                </a:r>
              </a:p>
            </c:rich>
          </c:tx>
          <c:layout>
            <c:manualLayout>
              <c:xMode val="edge"/>
              <c:yMode val="edge"/>
              <c:x val="0.434497903671132"/>
              <c:y val="0.904810241675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128692600"/>
        <c:crosses val="autoZero"/>
        <c:crossBetween val="midCat"/>
      </c:valAx>
      <c:valAx>
        <c:axId val="2128692600"/>
        <c:scaling>
          <c:orientation val="minMax"/>
          <c:max val="30.0"/>
          <c:min val="0.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Price</a:t>
                </a:r>
              </a:p>
            </c:rich>
          </c:tx>
          <c:layout>
            <c:manualLayout>
              <c:xMode val="edge"/>
              <c:yMode val="edge"/>
              <c:x val="0.0187007874015748"/>
              <c:y val="0.431095997526868"/>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129071880"/>
        <c:crosses val="autoZero"/>
        <c:crossBetween val="midCat"/>
        <c:majorUnit val="5.0"/>
      </c:valAx>
      <c:spPr>
        <a:solidFill>
          <a:srgbClr val="FFFFCC"/>
        </a:solidFill>
        <a:ln w="12700">
          <a:solidFill>
            <a:srgbClr val="808080"/>
          </a:solidFill>
          <a:prstDash val="solid"/>
        </a:ln>
      </c:spPr>
    </c:plotArea>
    <c:legend>
      <c:legendPos val="r"/>
      <c:layout>
        <c:manualLayout>
          <c:xMode val="edge"/>
          <c:yMode val="edge"/>
          <c:x val="0.834061135371179"/>
          <c:y val="0.425000741142476"/>
          <c:w val="0.148471615720524"/>
          <c:h val="0.146428826780181"/>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Valuations Above a Given Price</a:t>
            </a:r>
          </a:p>
        </c:rich>
      </c:tx>
      <c:layout>
        <c:manualLayout>
          <c:xMode val="edge"/>
          <c:yMode val="edge"/>
          <c:x val="0.282651610189012"/>
          <c:y val="0.0387598366333448"/>
        </c:manualLayout>
      </c:layout>
      <c:overlay val="0"/>
      <c:spPr>
        <a:noFill/>
        <a:ln w="25400">
          <a:noFill/>
        </a:ln>
      </c:spPr>
    </c:title>
    <c:autoTitleDeleted val="0"/>
    <c:plotArea>
      <c:layout>
        <c:manualLayout>
          <c:layoutTarget val="inner"/>
          <c:xMode val="edge"/>
          <c:yMode val="edge"/>
          <c:x val="0.183236216260463"/>
          <c:y val="0.279070823760083"/>
          <c:w val="0.551657970230968"/>
          <c:h val="0.515505827223486"/>
        </c:manualLayout>
      </c:layout>
      <c:scatterChart>
        <c:scatterStyle val="lineMarker"/>
        <c:varyColors val="0"/>
        <c:ser>
          <c:idx val="0"/>
          <c:order val="0"/>
          <c:tx>
            <c:strRef>
              <c:f>CSSols!$K$61</c:f>
              <c:strCache>
                <c:ptCount val="1"/>
                <c:pt idx="0">
                  <c:v>Tiger's Cost</c:v>
                </c:pt>
              </c:strCache>
            </c:strRef>
          </c:tx>
          <c:spPr>
            <a:ln w="25400">
              <a:solidFill>
                <a:srgbClr val="000080"/>
              </a:solidFill>
              <a:prstDash val="solid"/>
            </a:ln>
          </c:spPr>
          <c:marker>
            <c:symbol val="dot"/>
            <c:size val="5"/>
            <c:spPr>
              <a:solidFill>
                <a:srgbClr val="000080"/>
              </a:solidFill>
              <a:ln>
                <a:solidFill>
                  <a:srgbClr val="000080"/>
                </a:solidFill>
                <a:prstDash val="solid"/>
              </a:ln>
            </c:spPr>
          </c:marker>
          <c:xVal>
            <c:numRef>
              <c:f>CSSols!$H$61:$H$62</c:f>
              <c:numCache>
                <c:formatCode>General</c:formatCode>
                <c:ptCount val="2"/>
                <c:pt idx="0">
                  <c:v>5.0</c:v>
                </c:pt>
                <c:pt idx="1">
                  <c:v>4.0</c:v>
                </c:pt>
              </c:numCache>
            </c:numRef>
          </c:xVal>
          <c:yVal>
            <c:numRef>
              <c:f>CSSols!$I$61:$I$62</c:f>
              <c:numCache>
                <c:formatCode>"$"#,##0.00</c:formatCode>
                <c:ptCount val="2"/>
                <c:pt idx="0">
                  <c:v>89.0</c:v>
                </c:pt>
                <c:pt idx="1">
                  <c:v>89.0</c:v>
                </c:pt>
              </c:numCache>
            </c:numRef>
          </c:yVal>
          <c:smooth val="0"/>
        </c:ser>
        <c:ser>
          <c:idx val="1"/>
          <c:order val="1"/>
          <c:tx>
            <c:strRef>
              <c:f>CSSols!$K$63</c:f>
              <c:strCache>
                <c:ptCount val="1"/>
                <c:pt idx="0">
                  <c:v>Venus's Cost</c:v>
                </c:pt>
              </c:strCache>
            </c:strRef>
          </c:tx>
          <c:spPr>
            <a:ln w="25400">
              <a:solidFill>
                <a:srgbClr val="FF00FF"/>
              </a:solidFill>
              <a:prstDash val="solid"/>
            </a:ln>
          </c:spPr>
          <c:marker>
            <c:symbol val="dot"/>
            <c:size val="5"/>
            <c:spPr>
              <a:solidFill>
                <a:srgbClr val="FF00FF"/>
              </a:solidFill>
              <a:ln>
                <a:solidFill>
                  <a:srgbClr val="FF00FF"/>
                </a:solidFill>
                <a:prstDash val="solid"/>
              </a:ln>
            </c:spPr>
          </c:marker>
          <c:xVal>
            <c:numRef>
              <c:f>CSSols!$H$63:$H$64</c:f>
              <c:numCache>
                <c:formatCode>General</c:formatCode>
                <c:ptCount val="2"/>
                <c:pt idx="0">
                  <c:v>4.0</c:v>
                </c:pt>
                <c:pt idx="1">
                  <c:v>3.0</c:v>
                </c:pt>
              </c:numCache>
            </c:numRef>
          </c:xVal>
          <c:yVal>
            <c:numRef>
              <c:f>CSSols!$I$63:$I$64</c:f>
              <c:numCache>
                <c:formatCode>"$"#,##0.00</c:formatCode>
                <c:ptCount val="2"/>
                <c:pt idx="0">
                  <c:v>70.5</c:v>
                </c:pt>
                <c:pt idx="1">
                  <c:v>70.5</c:v>
                </c:pt>
              </c:numCache>
            </c:numRef>
          </c:yVal>
          <c:smooth val="0"/>
        </c:ser>
        <c:ser>
          <c:idx val="2"/>
          <c:order val="2"/>
          <c:tx>
            <c:strRef>
              <c:f>CSSols!$K$65</c:f>
              <c:strCache>
                <c:ptCount val="1"/>
                <c:pt idx="0">
                  <c:v>Kobe's Cost</c:v>
                </c:pt>
              </c:strCache>
            </c:strRef>
          </c:tx>
          <c:spPr>
            <a:ln w="25400">
              <a:solidFill>
                <a:srgbClr val="FF6600"/>
              </a:solidFill>
              <a:prstDash val="solid"/>
            </a:ln>
          </c:spPr>
          <c:marker>
            <c:symbol val="dot"/>
            <c:size val="5"/>
            <c:spPr>
              <a:solidFill>
                <a:srgbClr val="FF6600"/>
              </a:solidFill>
              <a:ln>
                <a:solidFill>
                  <a:srgbClr val="FF6600"/>
                </a:solidFill>
                <a:prstDash val="solid"/>
              </a:ln>
            </c:spPr>
          </c:marker>
          <c:xVal>
            <c:numRef>
              <c:f>CSSols!$H$65:$H$66</c:f>
              <c:numCache>
                <c:formatCode>General</c:formatCode>
                <c:ptCount val="2"/>
                <c:pt idx="0">
                  <c:v>3.0</c:v>
                </c:pt>
                <c:pt idx="1">
                  <c:v>2.0</c:v>
                </c:pt>
              </c:numCache>
            </c:numRef>
          </c:xVal>
          <c:yVal>
            <c:numRef>
              <c:f>CSSols!$I$65:$I$66</c:f>
              <c:numCache>
                <c:formatCode>"$"#,##0.00</c:formatCode>
                <c:ptCount val="2"/>
                <c:pt idx="0">
                  <c:v>60.1</c:v>
                </c:pt>
                <c:pt idx="1">
                  <c:v>60.1</c:v>
                </c:pt>
              </c:numCache>
            </c:numRef>
          </c:yVal>
          <c:smooth val="0"/>
        </c:ser>
        <c:ser>
          <c:idx val="3"/>
          <c:order val="3"/>
          <c:tx>
            <c:strRef>
              <c:f>CSSols!$K$67</c:f>
              <c:strCache>
                <c:ptCount val="1"/>
                <c:pt idx="0">
                  <c:v>Mickey's Cost</c:v>
                </c:pt>
              </c:strCache>
            </c:strRef>
          </c:tx>
          <c:spPr>
            <a:ln w="25400">
              <a:solidFill>
                <a:srgbClr val="00FFFF"/>
              </a:solidFill>
              <a:prstDash val="solid"/>
            </a:ln>
          </c:spPr>
          <c:marker>
            <c:symbol val="dot"/>
            <c:size val="5"/>
            <c:spPr>
              <a:noFill/>
              <a:ln>
                <a:solidFill>
                  <a:srgbClr val="00FFFF"/>
                </a:solidFill>
                <a:prstDash val="solid"/>
              </a:ln>
            </c:spPr>
          </c:marker>
          <c:xVal>
            <c:numRef>
              <c:f>CSSols!$H$67:$H$68</c:f>
              <c:numCache>
                <c:formatCode>General</c:formatCode>
                <c:ptCount val="2"/>
                <c:pt idx="0">
                  <c:v>2.0</c:v>
                </c:pt>
                <c:pt idx="1">
                  <c:v>1.0</c:v>
                </c:pt>
              </c:numCache>
            </c:numRef>
          </c:xVal>
          <c:yVal>
            <c:numRef>
              <c:f>CSSols!$I$67:$I$68</c:f>
              <c:numCache>
                <c:formatCode>"$"#,##0.00</c:formatCode>
                <c:ptCount val="2"/>
                <c:pt idx="0">
                  <c:v>38.7</c:v>
                </c:pt>
                <c:pt idx="1">
                  <c:v>38.7</c:v>
                </c:pt>
              </c:numCache>
            </c:numRef>
          </c:yVal>
          <c:smooth val="0"/>
        </c:ser>
        <c:ser>
          <c:idx val="4"/>
          <c:order val="4"/>
          <c:tx>
            <c:strRef>
              <c:f>CSSols!$K$69</c:f>
              <c:strCache>
                <c:ptCount val="1"/>
                <c:pt idx="0">
                  <c:v>Serena's Cost</c:v>
                </c:pt>
              </c:strCache>
            </c:strRef>
          </c:tx>
          <c:spPr>
            <a:ln w="25400">
              <a:solidFill>
                <a:srgbClr val="800080"/>
              </a:solidFill>
              <a:prstDash val="solid"/>
            </a:ln>
          </c:spPr>
          <c:marker>
            <c:symbol val="dot"/>
            <c:size val="2"/>
            <c:spPr>
              <a:noFill/>
              <a:ln>
                <a:solidFill>
                  <a:srgbClr val="800080"/>
                </a:solidFill>
                <a:prstDash val="solid"/>
              </a:ln>
            </c:spPr>
          </c:marker>
          <c:xVal>
            <c:numRef>
              <c:f>CSSols!$H$69:$H$70</c:f>
              <c:numCache>
                <c:formatCode>General</c:formatCode>
                <c:ptCount val="2"/>
                <c:pt idx="0">
                  <c:v>1.0</c:v>
                </c:pt>
                <c:pt idx="1">
                  <c:v>0.0</c:v>
                </c:pt>
              </c:numCache>
            </c:numRef>
          </c:xVal>
          <c:yVal>
            <c:numRef>
              <c:f>CSSols!$I$69:$I$70</c:f>
              <c:numCache>
                <c:formatCode>"$"#,##0.00</c:formatCode>
                <c:ptCount val="2"/>
                <c:pt idx="0">
                  <c:v>22.3</c:v>
                </c:pt>
                <c:pt idx="1">
                  <c:v>22.3</c:v>
                </c:pt>
              </c:numCache>
            </c:numRef>
          </c:yVal>
          <c:smooth val="0"/>
        </c:ser>
        <c:ser>
          <c:idx val="5"/>
          <c:order val="5"/>
          <c:tx>
            <c:v>Price Line</c:v>
          </c:tx>
          <c:spPr>
            <a:ln w="25400">
              <a:solidFill>
                <a:srgbClr val="800000"/>
              </a:solidFill>
              <a:prstDash val="solid"/>
            </a:ln>
          </c:spPr>
          <c:marker>
            <c:symbol val="dot"/>
            <c:size val="5"/>
            <c:spPr>
              <a:solidFill>
                <a:srgbClr val="800000"/>
              </a:solidFill>
              <a:ln>
                <a:solidFill>
                  <a:srgbClr val="800000"/>
                </a:solidFill>
                <a:prstDash val="solid"/>
              </a:ln>
            </c:spPr>
          </c:marker>
          <c:xVal>
            <c:numRef>
              <c:f>CSSols!$H$73:$H$74</c:f>
              <c:numCache>
                <c:formatCode>General</c:formatCode>
                <c:ptCount val="2"/>
                <c:pt idx="0">
                  <c:v>0.0</c:v>
                </c:pt>
                <c:pt idx="1">
                  <c:v>6.0</c:v>
                </c:pt>
              </c:numCache>
            </c:numRef>
          </c:xVal>
          <c:yVal>
            <c:numRef>
              <c:f>CSSols!$I$73:$I$74</c:f>
              <c:numCache>
                <c:formatCode>"$"#,##0.00</c:formatCode>
                <c:ptCount val="2"/>
                <c:pt idx="0">
                  <c:v>30.8</c:v>
                </c:pt>
                <c:pt idx="1">
                  <c:v>30.8</c:v>
                </c:pt>
              </c:numCache>
            </c:numRef>
          </c:yVal>
          <c:smooth val="0"/>
        </c:ser>
        <c:dLbls>
          <c:showLegendKey val="0"/>
          <c:showVal val="0"/>
          <c:showCatName val="0"/>
          <c:showSerName val="0"/>
          <c:showPercent val="0"/>
          <c:showBubbleSize val="0"/>
        </c:dLbls>
        <c:axId val="2124088200"/>
        <c:axId val="2123976904"/>
      </c:scatterChart>
      <c:valAx>
        <c:axId val="2124088200"/>
        <c:scaling>
          <c:orientation val="minMax"/>
          <c:max val="5.0"/>
        </c:scaling>
        <c:delete val="0"/>
        <c:axPos val="b"/>
        <c:title>
          <c:tx>
            <c:rich>
              <a:bodyPr/>
              <a:lstStyle/>
              <a:p>
                <a:pPr>
                  <a:defRPr sz="1050" b="1" i="0" u="none" strike="noStrike" baseline="0">
                    <a:solidFill>
                      <a:srgbClr val="000000"/>
                    </a:solidFill>
                    <a:latin typeface="Arial"/>
                    <a:ea typeface="Arial"/>
                    <a:cs typeface="Arial"/>
                  </a:defRPr>
                </a:pPr>
                <a:r>
                  <a:rPr lang="en-US"/>
                  <a:t>Number</a:t>
                </a:r>
              </a:p>
            </c:rich>
          </c:tx>
          <c:layout>
            <c:manualLayout>
              <c:xMode val="edge"/>
              <c:yMode val="edge"/>
              <c:x val="0.401560218613355"/>
              <c:y val="0.8914762425669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23976904"/>
        <c:crosses val="autoZero"/>
        <c:crossBetween val="midCat"/>
      </c:valAx>
      <c:valAx>
        <c:axId val="2123976904"/>
        <c:scaling>
          <c:orientation val="minMax"/>
          <c:max val="90.0"/>
          <c:min val="10.0"/>
        </c:scaling>
        <c:delete val="0"/>
        <c:axPos val="l"/>
        <c:title>
          <c:tx>
            <c:rich>
              <a:bodyPr/>
              <a:lstStyle/>
              <a:p>
                <a:pPr>
                  <a:defRPr sz="1050" b="1" i="0" u="none" strike="noStrike" baseline="0">
                    <a:solidFill>
                      <a:srgbClr val="000000"/>
                    </a:solidFill>
                    <a:latin typeface="Arial"/>
                    <a:ea typeface="Arial"/>
                    <a:cs typeface="Arial"/>
                  </a:defRPr>
                </a:pPr>
                <a:r>
                  <a:rPr lang="en-US"/>
                  <a:t>Pricee</a:t>
                </a:r>
              </a:p>
            </c:rich>
          </c:tx>
          <c:layout>
            <c:manualLayout>
              <c:xMode val="edge"/>
              <c:yMode val="edge"/>
              <c:x val="0.0389864289915878"/>
              <c:y val="0.422482219303459"/>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24088200"/>
        <c:crosses val="autoZero"/>
        <c:crossBetween val="midCat"/>
      </c:valAx>
      <c:spPr>
        <a:solidFill>
          <a:srgbClr val="FFFFCC"/>
        </a:solidFill>
        <a:ln w="12700">
          <a:solidFill>
            <a:srgbClr val="808080"/>
          </a:solidFill>
          <a:prstDash val="solid"/>
        </a:ln>
      </c:spPr>
    </c:plotArea>
    <c:legend>
      <c:legendPos val="r"/>
      <c:layout>
        <c:manualLayout>
          <c:xMode val="edge"/>
          <c:yMode val="edge"/>
          <c:x val="0.756336722436804"/>
          <c:y val="0.263566889106745"/>
          <c:w val="0.231969252499948"/>
          <c:h val="0.51550582722348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Valuations Above a Given Price</a:t>
            </a:r>
          </a:p>
        </c:rich>
      </c:tx>
      <c:layout>
        <c:manualLayout>
          <c:xMode val="edge"/>
          <c:yMode val="edge"/>
          <c:x val="0.282651610189012"/>
          <c:y val="0.0387598366333448"/>
        </c:manualLayout>
      </c:layout>
      <c:overlay val="0"/>
      <c:spPr>
        <a:noFill/>
        <a:ln w="25400">
          <a:noFill/>
        </a:ln>
      </c:spPr>
    </c:title>
    <c:autoTitleDeleted val="0"/>
    <c:plotArea>
      <c:layout>
        <c:manualLayout>
          <c:layoutTarget val="inner"/>
          <c:xMode val="edge"/>
          <c:yMode val="edge"/>
          <c:x val="0.183236216260463"/>
          <c:y val="0.279070823760083"/>
          <c:w val="0.551657970230968"/>
          <c:h val="0.515505827223486"/>
        </c:manualLayout>
      </c:layout>
      <c:scatterChart>
        <c:scatterStyle val="lineMarker"/>
        <c:varyColors val="0"/>
        <c:ser>
          <c:idx val="0"/>
          <c:order val="0"/>
          <c:tx>
            <c:strRef>
              <c:f>ConstructingDemandSols!$K$61</c:f>
              <c:strCache>
                <c:ptCount val="1"/>
                <c:pt idx="0">
                  <c:v>Dieter's Value</c:v>
                </c:pt>
              </c:strCache>
            </c:strRef>
          </c:tx>
          <c:spPr>
            <a:ln w="25400">
              <a:solidFill>
                <a:srgbClr val="000080"/>
              </a:solidFill>
              <a:prstDash val="solid"/>
            </a:ln>
          </c:spPr>
          <c:marker>
            <c:symbol val="dot"/>
            <c:size val="5"/>
            <c:spPr>
              <a:solidFill>
                <a:srgbClr val="000080"/>
              </a:solidFill>
              <a:ln>
                <a:solidFill>
                  <a:srgbClr val="000080"/>
                </a:solidFill>
                <a:prstDash val="solid"/>
              </a:ln>
            </c:spPr>
          </c:marker>
          <c:xVal>
            <c:numRef>
              <c:f>ConstructingDemandSols!$H$61:$H$62</c:f>
              <c:numCache>
                <c:formatCode>General</c:formatCode>
                <c:ptCount val="2"/>
                <c:pt idx="0">
                  <c:v>0.0</c:v>
                </c:pt>
                <c:pt idx="1">
                  <c:v>1.0</c:v>
                </c:pt>
              </c:numCache>
            </c:numRef>
          </c:xVal>
          <c:yVal>
            <c:numRef>
              <c:f>ConstructingDemandSols!$I$61:$I$62</c:f>
              <c:numCache>
                <c:formatCode>"$"#,##0.00</c:formatCode>
                <c:ptCount val="2"/>
                <c:pt idx="0">
                  <c:v>82.1</c:v>
                </c:pt>
                <c:pt idx="1">
                  <c:v>82.1</c:v>
                </c:pt>
              </c:numCache>
            </c:numRef>
          </c:yVal>
          <c:smooth val="0"/>
        </c:ser>
        <c:ser>
          <c:idx val="1"/>
          <c:order val="1"/>
          <c:tx>
            <c:strRef>
              <c:f>ConstructingDemandSols!$K$63</c:f>
              <c:strCache>
                <c:ptCount val="1"/>
                <c:pt idx="0">
                  <c:v>Estelle's Value</c:v>
                </c:pt>
              </c:strCache>
            </c:strRef>
          </c:tx>
          <c:spPr>
            <a:ln w="25400">
              <a:solidFill>
                <a:srgbClr val="FF00FF"/>
              </a:solidFill>
              <a:prstDash val="solid"/>
            </a:ln>
          </c:spPr>
          <c:marker>
            <c:symbol val="dot"/>
            <c:size val="5"/>
            <c:spPr>
              <a:solidFill>
                <a:srgbClr val="FF00FF"/>
              </a:solidFill>
              <a:ln>
                <a:solidFill>
                  <a:srgbClr val="FF00FF"/>
                </a:solidFill>
                <a:prstDash val="solid"/>
              </a:ln>
            </c:spPr>
          </c:marker>
          <c:xVal>
            <c:numRef>
              <c:f>ConstructingDemandSols!$H$63:$H$64</c:f>
              <c:numCache>
                <c:formatCode>General</c:formatCode>
                <c:ptCount val="2"/>
                <c:pt idx="0">
                  <c:v>1.0</c:v>
                </c:pt>
                <c:pt idx="1">
                  <c:v>2.0</c:v>
                </c:pt>
              </c:numCache>
            </c:numRef>
          </c:xVal>
          <c:yVal>
            <c:numRef>
              <c:f>ConstructingDemandSols!$I$63:$I$64</c:f>
              <c:numCache>
                <c:formatCode>"$"#,##0.00</c:formatCode>
                <c:ptCount val="2"/>
                <c:pt idx="0">
                  <c:v>65.2</c:v>
                </c:pt>
                <c:pt idx="1">
                  <c:v>65.2</c:v>
                </c:pt>
              </c:numCache>
            </c:numRef>
          </c:yVal>
          <c:smooth val="0"/>
        </c:ser>
        <c:ser>
          <c:idx val="2"/>
          <c:order val="2"/>
          <c:tx>
            <c:strRef>
              <c:f>ConstructingDemandSols!$K$65</c:f>
              <c:strCache>
                <c:ptCount val="1"/>
                <c:pt idx="0">
                  <c:v>Abby's Value</c:v>
                </c:pt>
              </c:strCache>
            </c:strRef>
          </c:tx>
          <c:spPr>
            <a:ln w="25400">
              <a:solidFill>
                <a:srgbClr val="FF6600"/>
              </a:solidFill>
              <a:prstDash val="solid"/>
            </a:ln>
          </c:spPr>
          <c:marker>
            <c:symbol val="dot"/>
            <c:size val="5"/>
            <c:spPr>
              <a:solidFill>
                <a:srgbClr val="FF6600"/>
              </a:solidFill>
              <a:ln>
                <a:solidFill>
                  <a:srgbClr val="FF6600"/>
                </a:solidFill>
                <a:prstDash val="solid"/>
              </a:ln>
            </c:spPr>
          </c:marker>
          <c:xVal>
            <c:numRef>
              <c:f>ConstructingDemandSols!$H$65:$H$66</c:f>
              <c:numCache>
                <c:formatCode>General</c:formatCode>
                <c:ptCount val="2"/>
                <c:pt idx="0">
                  <c:v>2.0</c:v>
                </c:pt>
                <c:pt idx="1">
                  <c:v>3.0</c:v>
                </c:pt>
              </c:numCache>
            </c:numRef>
          </c:xVal>
          <c:yVal>
            <c:numRef>
              <c:f>ConstructingDemandSols!$I$65:$I$66</c:f>
              <c:numCache>
                <c:formatCode>"$"#,##0.00</c:formatCode>
                <c:ptCount val="2"/>
                <c:pt idx="0">
                  <c:v>48.9</c:v>
                </c:pt>
                <c:pt idx="1">
                  <c:v>48.9</c:v>
                </c:pt>
              </c:numCache>
            </c:numRef>
          </c:yVal>
          <c:smooth val="0"/>
        </c:ser>
        <c:ser>
          <c:idx val="3"/>
          <c:order val="3"/>
          <c:tx>
            <c:strRef>
              <c:f>ConstructingDemandSols!$K$67</c:f>
              <c:strCache>
                <c:ptCount val="1"/>
                <c:pt idx="0">
                  <c:v>Bailey's Value</c:v>
                </c:pt>
              </c:strCache>
            </c:strRef>
          </c:tx>
          <c:spPr>
            <a:ln w="25400">
              <a:solidFill>
                <a:srgbClr val="00FFFF"/>
              </a:solidFill>
              <a:prstDash val="solid"/>
            </a:ln>
          </c:spPr>
          <c:marker>
            <c:symbol val="dot"/>
            <c:size val="5"/>
            <c:spPr>
              <a:noFill/>
              <a:ln>
                <a:solidFill>
                  <a:srgbClr val="00FFFF"/>
                </a:solidFill>
                <a:prstDash val="solid"/>
              </a:ln>
            </c:spPr>
          </c:marker>
          <c:xVal>
            <c:numRef>
              <c:f>ConstructingDemandSols!$H$67:$H$68</c:f>
              <c:numCache>
                <c:formatCode>General</c:formatCode>
                <c:ptCount val="2"/>
                <c:pt idx="0">
                  <c:v>3.0</c:v>
                </c:pt>
                <c:pt idx="1">
                  <c:v>4.0</c:v>
                </c:pt>
              </c:numCache>
            </c:numRef>
          </c:xVal>
          <c:yVal>
            <c:numRef>
              <c:f>ConstructingDemandSols!$I$67:$I$68</c:f>
              <c:numCache>
                <c:formatCode>"$"#,##0.00</c:formatCode>
                <c:ptCount val="2"/>
                <c:pt idx="0">
                  <c:v>31.0</c:v>
                </c:pt>
                <c:pt idx="1">
                  <c:v>31.0</c:v>
                </c:pt>
              </c:numCache>
            </c:numRef>
          </c:yVal>
          <c:smooth val="0"/>
        </c:ser>
        <c:ser>
          <c:idx val="4"/>
          <c:order val="4"/>
          <c:tx>
            <c:strRef>
              <c:f>ConstructingDemandSols!$K$69</c:f>
              <c:strCache>
                <c:ptCount val="1"/>
                <c:pt idx="0">
                  <c:v>Charlene's Value</c:v>
                </c:pt>
              </c:strCache>
            </c:strRef>
          </c:tx>
          <c:spPr>
            <a:ln w="25400">
              <a:solidFill>
                <a:srgbClr val="800080"/>
              </a:solidFill>
              <a:prstDash val="solid"/>
            </a:ln>
          </c:spPr>
          <c:marker>
            <c:symbol val="dot"/>
            <c:size val="2"/>
            <c:spPr>
              <a:noFill/>
              <a:ln>
                <a:solidFill>
                  <a:srgbClr val="800080"/>
                </a:solidFill>
                <a:prstDash val="solid"/>
              </a:ln>
            </c:spPr>
          </c:marker>
          <c:xVal>
            <c:numRef>
              <c:f>ConstructingDemandSols!$H$69:$H$70</c:f>
              <c:numCache>
                <c:formatCode>General</c:formatCode>
                <c:ptCount val="2"/>
                <c:pt idx="0">
                  <c:v>4.0</c:v>
                </c:pt>
                <c:pt idx="1">
                  <c:v>5.0</c:v>
                </c:pt>
              </c:numCache>
            </c:numRef>
          </c:xVal>
          <c:yVal>
            <c:numRef>
              <c:f>ConstructingDemandSols!$I$69:$I$70</c:f>
              <c:numCache>
                <c:formatCode>"$"#,##0.00</c:formatCode>
                <c:ptCount val="2"/>
                <c:pt idx="0">
                  <c:v>14.5</c:v>
                </c:pt>
                <c:pt idx="1">
                  <c:v>14.5</c:v>
                </c:pt>
              </c:numCache>
            </c:numRef>
          </c:yVal>
          <c:smooth val="0"/>
        </c:ser>
        <c:ser>
          <c:idx val="5"/>
          <c:order val="5"/>
          <c:tx>
            <c:v>Price Line</c:v>
          </c:tx>
          <c:spPr>
            <a:ln w="25400">
              <a:solidFill>
                <a:srgbClr val="800000"/>
              </a:solidFill>
              <a:prstDash val="solid"/>
            </a:ln>
          </c:spPr>
          <c:marker>
            <c:symbol val="dot"/>
            <c:size val="5"/>
            <c:spPr>
              <a:solidFill>
                <a:srgbClr val="800000"/>
              </a:solidFill>
              <a:ln>
                <a:solidFill>
                  <a:srgbClr val="800000"/>
                </a:solidFill>
                <a:prstDash val="solid"/>
              </a:ln>
            </c:spPr>
          </c:marker>
          <c:xVal>
            <c:numRef>
              <c:f>ConstructingDemandSols!$H$73:$H$74</c:f>
              <c:numCache>
                <c:formatCode>General</c:formatCode>
                <c:ptCount val="2"/>
                <c:pt idx="0">
                  <c:v>0.0</c:v>
                </c:pt>
                <c:pt idx="1">
                  <c:v>6.0</c:v>
                </c:pt>
              </c:numCache>
            </c:numRef>
          </c:xVal>
          <c:yVal>
            <c:numRef>
              <c:f>ConstructingDemandSols!$I$73:$I$74</c:f>
              <c:numCache>
                <c:formatCode>"$"#,##0.00</c:formatCode>
                <c:ptCount val="2"/>
                <c:pt idx="0">
                  <c:v>25.2</c:v>
                </c:pt>
                <c:pt idx="1">
                  <c:v>25.2</c:v>
                </c:pt>
              </c:numCache>
            </c:numRef>
          </c:yVal>
          <c:smooth val="0"/>
        </c:ser>
        <c:dLbls>
          <c:showLegendKey val="0"/>
          <c:showVal val="0"/>
          <c:showCatName val="0"/>
          <c:showSerName val="0"/>
          <c:showPercent val="0"/>
          <c:showBubbleSize val="0"/>
        </c:dLbls>
        <c:axId val="2083418024"/>
        <c:axId val="2130982040"/>
      </c:scatterChart>
      <c:valAx>
        <c:axId val="2083418024"/>
        <c:scaling>
          <c:orientation val="minMax"/>
          <c:max val="5.0"/>
        </c:scaling>
        <c:delete val="0"/>
        <c:axPos val="b"/>
        <c:title>
          <c:tx>
            <c:rich>
              <a:bodyPr/>
              <a:lstStyle/>
              <a:p>
                <a:pPr>
                  <a:defRPr sz="1050" b="1" i="0" u="none" strike="noStrike" baseline="0">
                    <a:solidFill>
                      <a:srgbClr val="000000"/>
                    </a:solidFill>
                    <a:latin typeface="Arial"/>
                    <a:ea typeface="Arial"/>
                    <a:cs typeface="Arial"/>
                  </a:defRPr>
                </a:pPr>
                <a:r>
                  <a:rPr lang="en-US"/>
                  <a:t>Number</a:t>
                </a:r>
              </a:p>
            </c:rich>
          </c:tx>
          <c:layout>
            <c:manualLayout>
              <c:xMode val="edge"/>
              <c:yMode val="edge"/>
              <c:x val="0.401560218613355"/>
              <c:y val="0.8914762425669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30982040"/>
        <c:crosses val="autoZero"/>
        <c:crossBetween val="midCat"/>
      </c:valAx>
      <c:valAx>
        <c:axId val="2130982040"/>
        <c:scaling>
          <c:orientation val="minMax"/>
          <c:max val="90.0"/>
          <c:min val="10.0"/>
        </c:scaling>
        <c:delete val="0"/>
        <c:axPos val="l"/>
        <c:title>
          <c:tx>
            <c:rich>
              <a:bodyPr/>
              <a:lstStyle/>
              <a:p>
                <a:pPr>
                  <a:defRPr sz="1050" b="1" i="0" u="none" strike="noStrike" baseline="0">
                    <a:solidFill>
                      <a:srgbClr val="000000"/>
                    </a:solidFill>
                    <a:latin typeface="Arial"/>
                    <a:ea typeface="Arial"/>
                    <a:cs typeface="Arial"/>
                  </a:defRPr>
                </a:pPr>
                <a:r>
                  <a:rPr lang="en-US"/>
                  <a:t>Pricee</a:t>
                </a:r>
              </a:p>
            </c:rich>
          </c:tx>
          <c:layout>
            <c:manualLayout>
              <c:xMode val="edge"/>
              <c:yMode val="edge"/>
              <c:x val="0.0389864289915878"/>
              <c:y val="0.422482219303459"/>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083418024"/>
        <c:crosses val="autoZero"/>
        <c:crossBetween val="midCat"/>
      </c:valAx>
      <c:spPr>
        <a:solidFill>
          <a:srgbClr val="FFFFCC"/>
        </a:solidFill>
        <a:ln w="12700">
          <a:solidFill>
            <a:srgbClr val="808080"/>
          </a:solidFill>
          <a:prstDash val="solid"/>
        </a:ln>
      </c:spPr>
    </c:plotArea>
    <c:legend>
      <c:legendPos val="r"/>
      <c:layout>
        <c:manualLayout>
          <c:xMode val="edge"/>
          <c:yMode val="edge"/>
          <c:x val="0.756336722436804"/>
          <c:y val="0.263566889106745"/>
          <c:w val="0.231969252499948"/>
          <c:h val="0.51550582722348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Valuations Above a Given Price</a:t>
            </a:r>
          </a:p>
        </c:rich>
      </c:tx>
      <c:layout>
        <c:manualLayout>
          <c:xMode val="edge"/>
          <c:yMode val="edge"/>
          <c:x val="0.282651610189012"/>
          <c:y val="0.0387598366333448"/>
        </c:manualLayout>
      </c:layout>
      <c:overlay val="0"/>
      <c:spPr>
        <a:noFill/>
        <a:ln w="25400">
          <a:noFill/>
        </a:ln>
      </c:spPr>
    </c:title>
    <c:autoTitleDeleted val="0"/>
    <c:plotArea>
      <c:layout>
        <c:manualLayout>
          <c:layoutTarget val="inner"/>
          <c:xMode val="edge"/>
          <c:yMode val="edge"/>
          <c:x val="0.183236216260463"/>
          <c:y val="0.279070823760083"/>
          <c:w val="0.551657970230968"/>
          <c:h val="0.515505827223486"/>
        </c:manualLayout>
      </c:layout>
      <c:scatterChart>
        <c:scatterStyle val="lineMarker"/>
        <c:varyColors val="0"/>
        <c:ser>
          <c:idx val="0"/>
          <c:order val="0"/>
          <c:tx>
            <c:strRef>
              <c:f>ConstructingDemandSols!$K$61</c:f>
              <c:strCache>
                <c:ptCount val="1"/>
                <c:pt idx="0">
                  <c:v>Dieter's Value</c:v>
                </c:pt>
              </c:strCache>
            </c:strRef>
          </c:tx>
          <c:spPr>
            <a:ln w="25400">
              <a:solidFill>
                <a:srgbClr val="000080"/>
              </a:solidFill>
              <a:prstDash val="solid"/>
            </a:ln>
          </c:spPr>
          <c:marker>
            <c:symbol val="dot"/>
            <c:size val="5"/>
            <c:spPr>
              <a:solidFill>
                <a:srgbClr val="000080"/>
              </a:solidFill>
              <a:ln>
                <a:solidFill>
                  <a:srgbClr val="000080"/>
                </a:solidFill>
                <a:prstDash val="solid"/>
              </a:ln>
            </c:spPr>
          </c:marker>
          <c:xVal>
            <c:numRef>
              <c:f>ConstructingDemandSols!$H$61:$H$62</c:f>
              <c:numCache>
                <c:formatCode>General</c:formatCode>
                <c:ptCount val="2"/>
                <c:pt idx="0">
                  <c:v>0.0</c:v>
                </c:pt>
                <c:pt idx="1">
                  <c:v>1.0</c:v>
                </c:pt>
              </c:numCache>
            </c:numRef>
          </c:xVal>
          <c:yVal>
            <c:numRef>
              <c:f>ConstructingDemandSols!$I$61:$I$62</c:f>
              <c:numCache>
                <c:formatCode>"$"#,##0.00</c:formatCode>
                <c:ptCount val="2"/>
                <c:pt idx="0">
                  <c:v>82.1</c:v>
                </c:pt>
                <c:pt idx="1">
                  <c:v>82.1</c:v>
                </c:pt>
              </c:numCache>
            </c:numRef>
          </c:yVal>
          <c:smooth val="0"/>
        </c:ser>
        <c:ser>
          <c:idx val="1"/>
          <c:order val="1"/>
          <c:tx>
            <c:strRef>
              <c:f>ConstructingDemandSols!$K$63</c:f>
              <c:strCache>
                <c:ptCount val="1"/>
                <c:pt idx="0">
                  <c:v>Estelle's Value</c:v>
                </c:pt>
              </c:strCache>
            </c:strRef>
          </c:tx>
          <c:spPr>
            <a:ln w="25400">
              <a:solidFill>
                <a:srgbClr val="FF00FF"/>
              </a:solidFill>
              <a:prstDash val="sysDot"/>
            </a:ln>
          </c:spPr>
          <c:marker>
            <c:symbol val="dot"/>
            <c:size val="5"/>
            <c:spPr>
              <a:solidFill>
                <a:srgbClr val="FF00FF"/>
              </a:solidFill>
              <a:ln>
                <a:solidFill>
                  <a:srgbClr val="FF00FF"/>
                </a:solidFill>
                <a:prstDash val="solid"/>
              </a:ln>
            </c:spPr>
          </c:marker>
          <c:xVal>
            <c:numRef>
              <c:f>ConstructingDemandSols!$H$63:$H$64</c:f>
              <c:numCache>
                <c:formatCode>General</c:formatCode>
                <c:ptCount val="2"/>
                <c:pt idx="0">
                  <c:v>1.0</c:v>
                </c:pt>
                <c:pt idx="1">
                  <c:v>2.0</c:v>
                </c:pt>
              </c:numCache>
            </c:numRef>
          </c:xVal>
          <c:yVal>
            <c:numRef>
              <c:f>ConstructingDemandSols!$I$63:$I$64</c:f>
              <c:numCache>
                <c:formatCode>"$"#,##0.00</c:formatCode>
                <c:ptCount val="2"/>
                <c:pt idx="0">
                  <c:v>65.2</c:v>
                </c:pt>
                <c:pt idx="1">
                  <c:v>65.2</c:v>
                </c:pt>
              </c:numCache>
            </c:numRef>
          </c:yVal>
          <c:smooth val="0"/>
        </c:ser>
        <c:ser>
          <c:idx val="2"/>
          <c:order val="2"/>
          <c:tx>
            <c:strRef>
              <c:f>ConstructingDemandSols!$K$65</c:f>
              <c:strCache>
                <c:ptCount val="1"/>
                <c:pt idx="0">
                  <c:v>Abby's Value</c:v>
                </c:pt>
              </c:strCache>
            </c:strRef>
          </c:tx>
          <c:spPr>
            <a:ln w="25400">
              <a:solidFill>
                <a:srgbClr val="FF6600"/>
              </a:solidFill>
              <a:prstDash val="dash"/>
            </a:ln>
          </c:spPr>
          <c:marker>
            <c:symbol val="dot"/>
            <c:size val="5"/>
            <c:spPr>
              <a:solidFill>
                <a:srgbClr val="FF6600"/>
              </a:solidFill>
              <a:ln>
                <a:solidFill>
                  <a:srgbClr val="FF6600"/>
                </a:solidFill>
                <a:prstDash val="solid"/>
              </a:ln>
            </c:spPr>
          </c:marker>
          <c:xVal>
            <c:numRef>
              <c:f>ConstructingDemandSols!$H$65:$H$66</c:f>
              <c:numCache>
                <c:formatCode>General</c:formatCode>
                <c:ptCount val="2"/>
                <c:pt idx="0">
                  <c:v>2.0</c:v>
                </c:pt>
                <c:pt idx="1">
                  <c:v>3.0</c:v>
                </c:pt>
              </c:numCache>
            </c:numRef>
          </c:xVal>
          <c:yVal>
            <c:numRef>
              <c:f>ConstructingDemandSols!$I$65:$I$66</c:f>
              <c:numCache>
                <c:formatCode>"$"#,##0.00</c:formatCode>
                <c:ptCount val="2"/>
                <c:pt idx="0">
                  <c:v>48.9</c:v>
                </c:pt>
                <c:pt idx="1">
                  <c:v>48.9</c:v>
                </c:pt>
              </c:numCache>
            </c:numRef>
          </c:yVal>
          <c:smooth val="0"/>
        </c:ser>
        <c:ser>
          <c:idx val="3"/>
          <c:order val="3"/>
          <c:tx>
            <c:strRef>
              <c:f>ConstructingDemandSols!$K$67</c:f>
              <c:strCache>
                <c:ptCount val="1"/>
                <c:pt idx="0">
                  <c:v>Bailey's Value</c:v>
                </c:pt>
              </c:strCache>
            </c:strRef>
          </c:tx>
          <c:spPr>
            <a:ln w="25400">
              <a:solidFill>
                <a:srgbClr val="00FFFF"/>
              </a:solidFill>
              <a:prstDash val="lgDashDot"/>
            </a:ln>
          </c:spPr>
          <c:marker>
            <c:symbol val="dot"/>
            <c:size val="5"/>
            <c:spPr>
              <a:noFill/>
              <a:ln>
                <a:solidFill>
                  <a:srgbClr val="00FFFF"/>
                </a:solidFill>
                <a:prstDash val="solid"/>
              </a:ln>
            </c:spPr>
          </c:marker>
          <c:xVal>
            <c:numRef>
              <c:f>ConstructingDemandSols!$H$67:$H$68</c:f>
              <c:numCache>
                <c:formatCode>General</c:formatCode>
                <c:ptCount val="2"/>
                <c:pt idx="0">
                  <c:v>3.0</c:v>
                </c:pt>
                <c:pt idx="1">
                  <c:v>4.0</c:v>
                </c:pt>
              </c:numCache>
            </c:numRef>
          </c:xVal>
          <c:yVal>
            <c:numRef>
              <c:f>ConstructingDemandSols!$I$67:$I$68</c:f>
              <c:numCache>
                <c:formatCode>"$"#,##0.00</c:formatCode>
                <c:ptCount val="2"/>
                <c:pt idx="0">
                  <c:v>31.0</c:v>
                </c:pt>
                <c:pt idx="1">
                  <c:v>31.0</c:v>
                </c:pt>
              </c:numCache>
            </c:numRef>
          </c:yVal>
          <c:smooth val="0"/>
        </c:ser>
        <c:ser>
          <c:idx val="4"/>
          <c:order val="4"/>
          <c:tx>
            <c:strRef>
              <c:f>ConstructingDemandSols!$K$69</c:f>
              <c:strCache>
                <c:ptCount val="1"/>
                <c:pt idx="0">
                  <c:v>Charlene's Value</c:v>
                </c:pt>
              </c:strCache>
            </c:strRef>
          </c:tx>
          <c:spPr>
            <a:ln w="25400">
              <a:solidFill>
                <a:srgbClr val="800080"/>
              </a:solidFill>
              <a:prstDash val="sysDash"/>
            </a:ln>
          </c:spPr>
          <c:marker>
            <c:symbol val="dot"/>
            <c:size val="2"/>
            <c:spPr>
              <a:noFill/>
              <a:ln>
                <a:solidFill>
                  <a:srgbClr val="800080"/>
                </a:solidFill>
                <a:prstDash val="solid"/>
              </a:ln>
            </c:spPr>
          </c:marker>
          <c:xVal>
            <c:numRef>
              <c:f>ConstructingDemandSols!$H$69:$H$70</c:f>
              <c:numCache>
                <c:formatCode>General</c:formatCode>
                <c:ptCount val="2"/>
                <c:pt idx="0">
                  <c:v>4.0</c:v>
                </c:pt>
                <c:pt idx="1">
                  <c:v>5.0</c:v>
                </c:pt>
              </c:numCache>
            </c:numRef>
          </c:xVal>
          <c:yVal>
            <c:numRef>
              <c:f>ConstructingDemandSols!$I$69:$I$70</c:f>
              <c:numCache>
                <c:formatCode>"$"#,##0.00</c:formatCode>
                <c:ptCount val="2"/>
                <c:pt idx="0">
                  <c:v>14.5</c:v>
                </c:pt>
                <c:pt idx="1">
                  <c:v>14.5</c:v>
                </c:pt>
              </c:numCache>
            </c:numRef>
          </c:yVal>
          <c:smooth val="0"/>
        </c:ser>
        <c:ser>
          <c:idx val="5"/>
          <c:order val="5"/>
          <c:tx>
            <c:v>Price Line</c:v>
          </c:tx>
          <c:spPr>
            <a:ln w="25400">
              <a:solidFill>
                <a:srgbClr val="800000"/>
              </a:solidFill>
              <a:prstDash val="solid"/>
            </a:ln>
          </c:spPr>
          <c:marker>
            <c:symbol val="dot"/>
            <c:size val="5"/>
            <c:spPr>
              <a:solidFill>
                <a:srgbClr val="800000"/>
              </a:solidFill>
              <a:ln>
                <a:solidFill>
                  <a:srgbClr val="800000"/>
                </a:solidFill>
                <a:prstDash val="solid"/>
              </a:ln>
            </c:spPr>
          </c:marker>
          <c:xVal>
            <c:numRef>
              <c:f>ConstructingDemandSols!$H$73:$H$74</c:f>
              <c:numCache>
                <c:formatCode>General</c:formatCode>
                <c:ptCount val="2"/>
                <c:pt idx="0">
                  <c:v>0.0</c:v>
                </c:pt>
                <c:pt idx="1">
                  <c:v>6.0</c:v>
                </c:pt>
              </c:numCache>
            </c:numRef>
          </c:xVal>
          <c:yVal>
            <c:numRef>
              <c:f>ConstructingDemandSols!$I$73:$I$74</c:f>
              <c:numCache>
                <c:formatCode>"$"#,##0.00</c:formatCode>
                <c:ptCount val="2"/>
                <c:pt idx="0">
                  <c:v>25.2</c:v>
                </c:pt>
                <c:pt idx="1">
                  <c:v>25.2</c:v>
                </c:pt>
              </c:numCache>
            </c:numRef>
          </c:yVal>
          <c:smooth val="0"/>
        </c:ser>
        <c:dLbls>
          <c:showLegendKey val="0"/>
          <c:showVal val="0"/>
          <c:showCatName val="0"/>
          <c:showSerName val="0"/>
          <c:showPercent val="0"/>
          <c:showBubbleSize val="0"/>
        </c:dLbls>
        <c:axId val="2129012840"/>
        <c:axId val="2129010744"/>
      </c:scatterChart>
      <c:valAx>
        <c:axId val="2129012840"/>
        <c:scaling>
          <c:orientation val="minMax"/>
          <c:max val="5.0"/>
          <c:min val="0.0"/>
        </c:scaling>
        <c:delete val="0"/>
        <c:axPos val="b"/>
        <c:title>
          <c:tx>
            <c:rich>
              <a:bodyPr/>
              <a:lstStyle/>
              <a:p>
                <a:pPr>
                  <a:defRPr sz="1050" b="1" i="0" u="none" strike="noStrike" baseline="0">
                    <a:solidFill>
                      <a:srgbClr val="000000"/>
                    </a:solidFill>
                    <a:latin typeface="Arial"/>
                    <a:ea typeface="Arial"/>
                    <a:cs typeface="Arial"/>
                  </a:defRPr>
                </a:pPr>
                <a:r>
                  <a:rPr lang="en-US"/>
                  <a:t>Number</a:t>
                </a:r>
              </a:p>
            </c:rich>
          </c:tx>
          <c:layout>
            <c:manualLayout>
              <c:xMode val="edge"/>
              <c:yMode val="edge"/>
              <c:x val="0.401560218613355"/>
              <c:y val="0.8914762425669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29010744"/>
        <c:crosses val="autoZero"/>
        <c:crossBetween val="midCat"/>
        <c:majorUnit val="1.0"/>
      </c:valAx>
      <c:valAx>
        <c:axId val="2129010744"/>
        <c:scaling>
          <c:orientation val="minMax"/>
          <c:max val="100.0"/>
          <c:min val="0.0"/>
        </c:scaling>
        <c:delete val="0"/>
        <c:axPos val="l"/>
        <c:title>
          <c:tx>
            <c:rich>
              <a:bodyPr/>
              <a:lstStyle/>
              <a:p>
                <a:pPr>
                  <a:defRPr sz="1050" b="1" i="0" u="none" strike="noStrike" baseline="0">
                    <a:solidFill>
                      <a:srgbClr val="000000"/>
                    </a:solidFill>
                    <a:latin typeface="Arial"/>
                    <a:ea typeface="Arial"/>
                    <a:cs typeface="Arial"/>
                  </a:defRPr>
                </a:pPr>
                <a:r>
                  <a:rPr lang="en-US"/>
                  <a:t>Pricee</a:t>
                </a:r>
              </a:p>
            </c:rich>
          </c:tx>
          <c:layout>
            <c:manualLayout>
              <c:xMode val="edge"/>
              <c:yMode val="edge"/>
              <c:x val="0.0103963612735543"/>
              <c:y val="0.422482247858553"/>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29012840"/>
        <c:crosses val="autoZero"/>
        <c:crossBetween val="midCat"/>
        <c:majorUnit val="20.0"/>
      </c:valAx>
      <c:spPr>
        <a:solidFill>
          <a:srgbClr val="FFFFCC"/>
        </a:solidFill>
        <a:ln w="12700">
          <a:solidFill>
            <a:srgbClr val="808080"/>
          </a:solidFill>
          <a:prstDash val="solid"/>
        </a:ln>
      </c:spPr>
    </c:plotArea>
    <c:legend>
      <c:legendPos val="r"/>
      <c:layout>
        <c:manualLayout>
          <c:xMode val="edge"/>
          <c:yMode val="edge"/>
          <c:x val="0.756336722436804"/>
          <c:y val="0.263566889106745"/>
          <c:w val="0.231969252499948"/>
          <c:h val="0.51550582722348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Opportunity Costs Below a Given Price</a:t>
            </a:r>
          </a:p>
        </c:rich>
      </c:tx>
      <c:layout>
        <c:manualLayout>
          <c:xMode val="edge"/>
          <c:yMode val="edge"/>
          <c:x val="0.233009708737864"/>
          <c:y val="0.0387598366333448"/>
        </c:manualLayout>
      </c:layout>
      <c:overlay val="0"/>
      <c:spPr>
        <a:noFill/>
        <a:ln w="25400">
          <a:noFill/>
        </a:ln>
      </c:spPr>
    </c:title>
    <c:autoTitleDeleted val="0"/>
    <c:plotArea>
      <c:layout>
        <c:manualLayout>
          <c:layoutTarget val="inner"/>
          <c:xMode val="edge"/>
          <c:yMode val="edge"/>
          <c:x val="0.18252427184466"/>
          <c:y val="0.279070823760083"/>
          <c:w val="0.553398058252427"/>
          <c:h val="0.515505827223486"/>
        </c:manualLayout>
      </c:layout>
      <c:scatterChart>
        <c:scatterStyle val="lineMarker"/>
        <c:varyColors val="0"/>
        <c:ser>
          <c:idx val="4"/>
          <c:order val="0"/>
          <c:tx>
            <c:strRef>
              <c:f>CSSols!$K$69</c:f>
              <c:strCache>
                <c:ptCount val="1"/>
                <c:pt idx="0">
                  <c:v>Serena's Cost</c:v>
                </c:pt>
              </c:strCache>
            </c:strRef>
          </c:tx>
          <c:spPr>
            <a:ln w="25400">
              <a:solidFill>
                <a:srgbClr val="800080"/>
              </a:solidFill>
              <a:prstDash val="solid"/>
            </a:ln>
          </c:spPr>
          <c:marker>
            <c:symbol val="dot"/>
            <c:size val="2"/>
            <c:spPr>
              <a:noFill/>
              <a:ln>
                <a:solidFill>
                  <a:srgbClr val="800080"/>
                </a:solidFill>
                <a:prstDash val="solid"/>
              </a:ln>
            </c:spPr>
          </c:marker>
          <c:xVal>
            <c:numRef>
              <c:f>CSSols!$H$69:$H$70</c:f>
              <c:numCache>
                <c:formatCode>General</c:formatCode>
                <c:ptCount val="2"/>
                <c:pt idx="0">
                  <c:v>1.0</c:v>
                </c:pt>
                <c:pt idx="1">
                  <c:v>0.0</c:v>
                </c:pt>
              </c:numCache>
            </c:numRef>
          </c:xVal>
          <c:yVal>
            <c:numRef>
              <c:f>CSSols!$I$69:$I$70</c:f>
              <c:numCache>
                <c:formatCode>"$"#,##0.00</c:formatCode>
                <c:ptCount val="2"/>
                <c:pt idx="0">
                  <c:v>22.3</c:v>
                </c:pt>
                <c:pt idx="1">
                  <c:v>22.3</c:v>
                </c:pt>
              </c:numCache>
            </c:numRef>
          </c:yVal>
          <c:smooth val="0"/>
        </c:ser>
        <c:ser>
          <c:idx val="3"/>
          <c:order val="1"/>
          <c:tx>
            <c:strRef>
              <c:f>CSSols!$K$67</c:f>
              <c:strCache>
                <c:ptCount val="1"/>
                <c:pt idx="0">
                  <c:v>Mickey's Cost</c:v>
                </c:pt>
              </c:strCache>
            </c:strRef>
          </c:tx>
          <c:spPr>
            <a:ln w="25400">
              <a:solidFill>
                <a:srgbClr val="00FFFF"/>
              </a:solidFill>
              <a:prstDash val="sysDash"/>
            </a:ln>
          </c:spPr>
          <c:marker>
            <c:symbol val="dot"/>
            <c:size val="5"/>
            <c:spPr>
              <a:noFill/>
              <a:ln>
                <a:solidFill>
                  <a:srgbClr val="00FFFF"/>
                </a:solidFill>
                <a:prstDash val="solid"/>
              </a:ln>
            </c:spPr>
          </c:marker>
          <c:xVal>
            <c:numRef>
              <c:f>CSSols!$H$67:$H$68</c:f>
              <c:numCache>
                <c:formatCode>General</c:formatCode>
                <c:ptCount val="2"/>
                <c:pt idx="0">
                  <c:v>2.0</c:v>
                </c:pt>
                <c:pt idx="1">
                  <c:v>1.0</c:v>
                </c:pt>
              </c:numCache>
            </c:numRef>
          </c:xVal>
          <c:yVal>
            <c:numRef>
              <c:f>CSSols!$I$67:$I$68</c:f>
              <c:numCache>
                <c:formatCode>"$"#,##0.00</c:formatCode>
                <c:ptCount val="2"/>
                <c:pt idx="0">
                  <c:v>38.7</c:v>
                </c:pt>
                <c:pt idx="1">
                  <c:v>38.7</c:v>
                </c:pt>
              </c:numCache>
            </c:numRef>
          </c:yVal>
          <c:smooth val="0"/>
        </c:ser>
        <c:ser>
          <c:idx val="2"/>
          <c:order val="2"/>
          <c:tx>
            <c:strRef>
              <c:f>CSSols!$K$65</c:f>
              <c:strCache>
                <c:ptCount val="1"/>
                <c:pt idx="0">
                  <c:v>Kobe's Cost</c:v>
                </c:pt>
              </c:strCache>
            </c:strRef>
          </c:tx>
          <c:spPr>
            <a:ln w="25400">
              <a:solidFill>
                <a:srgbClr val="FF6600"/>
              </a:solidFill>
              <a:prstDash val="dashDot"/>
            </a:ln>
          </c:spPr>
          <c:marker>
            <c:symbol val="dot"/>
            <c:size val="5"/>
            <c:spPr>
              <a:solidFill>
                <a:srgbClr val="FF6600"/>
              </a:solidFill>
              <a:ln>
                <a:solidFill>
                  <a:srgbClr val="FF6600"/>
                </a:solidFill>
                <a:prstDash val="solid"/>
              </a:ln>
            </c:spPr>
          </c:marker>
          <c:xVal>
            <c:numRef>
              <c:f>CSSols!$H$65:$H$66</c:f>
              <c:numCache>
                <c:formatCode>General</c:formatCode>
                <c:ptCount val="2"/>
                <c:pt idx="0">
                  <c:v>3.0</c:v>
                </c:pt>
                <c:pt idx="1">
                  <c:v>2.0</c:v>
                </c:pt>
              </c:numCache>
            </c:numRef>
          </c:xVal>
          <c:yVal>
            <c:numRef>
              <c:f>CSSols!$I$65:$I$66</c:f>
              <c:numCache>
                <c:formatCode>"$"#,##0.00</c:formatCode>
                <c:ptCount val="2"/>
                <c:pt idx="0">
                  <c:v>60.1</c:v>
                </c:pt>
                <c:pt idx="1">
                  <c:v>60.1</c:v>
                </c:pt>
              </c:numCache>
            </c:numRef>
          </c:yVal>
          <c:smooth val="0"/>
        </c:ser>
        <c:ser>
          <c:idx val="1"/>
          <c:order val="3"/>
          <c:tx>
            <c:strRef>
              <c:f>CSSols!$K$63</c:f>
              <c:strCache>
                <c:ptCount val="1"/>
                <c:pt idx="0">
                  <c:v>Venus's Cost</c:v>
                </c:pt>
              </c:strCache>
            </c:strRef>
          </c:tx>
          <c:spPr>
            <a:ln w="25400">
              <a:solidFill>
                <a:srgbClr val="FF00FF"/>
              </a:solidFill>
              <a:prstDash val="lgDashDotDot"/>
            </a:ln>
          </c:spPr>
          <c:marker>
            <c:symbol val="dot"/>
            <c:size val="5"/>
            <c:spPr>
              <a:solidFill>
                <a:srgbClr val="FF00FF"/>
              </a:solidFill>
              <a:ln>
                <a:solidFill>
                  <a:srgbClr val="FF00FF"/>
                </a:solidFill>
                <a:prstDash val="solid"/>
              </a:ln>
            </c:spPr>
          </c:marker>
          <c:xVal>
            <c:numRef>
              <c:f>CSSols!$H$63:$H$64</c:f>
              <c:numCache>
                <c:formatCode>General</c:formatCode>
                <c:ptCount val="2"/>
                <c:pt idx="0">
                  <c:v>4.0</c:v>
                </c:pt>
                <c:pt idx="1">
                  <c:v>3.0</c:v>
                </c:pt>
              </c:numCache>
            </c:numRef>
          </c:xVal>
          <c:yVal>
            <c:numRef>
              <c:f>CSSols!$I$63:$I$64</c:f>
              <c:numCache>
                <c:formatCode>"$"#,##0.00</c:formatCode>
                <c:ptCount val="2"/>
                <c:pt idx="0">
                  <c:v>70.5</c:v>
                </c:pt>
                <c:pt idx="1">
                  <c:v>70.5</c:v>
                </c:pt>
              </c:numCache>
            </c:numRef>
          </c:yVal>
          <c:smooth val="0"/>
        </c:ser>
        <c:ser>
          <c:idx val="0"/>
          <c:order val="4"/>
          <c:tx>
            <c:strRef>
              <c:f>CSSols!$K$61</c:f>
              <c:strCache>
                <c:ptCount val="1"/>
                <c:pt idx="0">
                  <c:v>Tiger's Cost</c:v>
                </c:pt>
              </c:strCache>
            </c:strRef>
          </c:tx>
          <c:spPr>
            <a:ln w="25400">
              <a:solidFill>
                <a:srgbClr val="000080"/>
              </a:solidFill>
              <a:prstDash val="sysDot"/>
            </a:ln>
          </c:spPr>
          <c:marker>
            <c:symbol val="dot"/>
            <c:size val="5"/>
            <c:spPr>
              <a:solidFill>
                <a:srgbClr val="000080"/>
              </a:solidFill>
              <a:ln>
                <a:solidFill>
                  <a:srgbClr val="000080"/>
                </a:solidFill>
                <a:prstDash val="solid"/>
              </a:ln>
            </c:spPr>
          </c:marker>
          <c:xVal>
            <c:numRef>
              <c:f>CSSols!$H$61:$H$62</c:f>
              <c:numCache>
                <c:formatCode>General</c:formatCode>
                <c:ptCount val="2"/>
                <c:pt idx="0">
                  <c:v>5.0</c:v>
                </c:pt>
                <c:pt idx="1">
                  <c:v>4.0</c:v>
                </c:pt>
              </c:numCache>
            </c:numRef>
          </c:xVal>
          <c:yVal>
            <c:numRef>
              <c:f>CSSols!$I$61:$I$62</c:f>
              <c:numCache>
                <c:formatCode>"$"#,##0.00</c:formatCode>
                <c:ptCount val="2"/>
                <c:pt idx="0">
                  <c:v>89.0</c:v>
                </c:pt>
                <c:pt idx="1">
                  <c:v>89.0</c:v>
                </c:pt>
              </c:numCache>
            </c:numRef>
          </c:yVal>
          <c:smooth val="0"/>
        </c:ser>
        <c:ser>
          <c:idx val="5"/>
          <c:order val="5"/>
          <c:tx>
            <c:v>Price Line</c:v>
          </c:tx>
          <c:spPr>
            <a:ln w="25400">
              <a:solidFill>
                <a:srgbClr val="800000"/>
              </a:solidFill>
              <a:prstDash val="solid"/>
            </a:ln>
          </c:spPr>
          <c:marker>
            <c:symbol val="dot"/>
            <c:size val="5"/>
            <c:spPr>
              <a:solidFill>
                <a:srgbClr val="800000"/>
              </a:solidFill>
              <a:ln>
                <a:solidFill>
                  <a:srgbClr val="800000"/>
                </a:solidFill>
                <a:prstDash val="solid"/>
              </a:ln>
            </c:spPr>
          </c:marker>
          <c:xVal>
            <c:numRef>
              <c:f>CSSols!$H$73:$H$74</c:f>
              <c:numCache>
                <c:formatCode>General</c:formatCode>
                <c:ptCount val="2"/>
                <c:pt idx="0">
                  <c:v>0.0</c:v>
                </c:pt>
                <c:pt idx="1">
                  <c:v>6.0</c:v>
                </c:pt>
              </c:numCache>
            </c:numRef>
          </c:xVal>
          <c:yVal>
            <c:numRef>
              <c:f>CSSols!$I$73:$I$74</c:f>
              <c:numCache>
                <c:formatCode>"$"#,##0.00</c:formatCode>
                <c:ptCount val="2"/>
                <c:pt idx="0">
                  <c:v>30.8</c:v>
                </c:pt>
                <c:pt idx="1">
                  <c:v>30.8</c:v>
                </c:pt>
              </c:numCache>
            </c:numRef>
          </c:yVal>
          <c:smooth val="0"/>
        </c:ser>
        <c:dLbls>
          <c:showLegendKey val="0"/>
          <c:showVal val="0"/>
          <c:showCatName val="0"/>
          <c:showSerName val="0"/>
          <c:showPercent val="0"/>
          <c:showBubbleSize val="0"/>
        </c:dLbls>
        <c:axId val="2129460344"/>
        <c:axId val="2129468424"/>
      </c:scatterChart>
      <c:valAx>
        <c:axId val="2129460344"/>
        <c:scaling>
          <c:orientation val="minMax"/>
          <c:max val="5.0"/>
          <c:min val="0.0"/>
        </c:scaling>
        <c:delete val="0"/>
        <c:axPos val="b"/>
        <c:title>
          <c:tx>
            <c:rich>
              <a:bodyPr/>
              <a:lstStyle/>
              <a:p>
                <a:pPr>
                  <a:defRPr sz="1050" b="1" i="0" u="none" strike="noStrike" baseline="0">
                    <a:solidFill>
                      <a:srgbClr val="000000"/>
                    </a:solidFill>
                    <a:latin typeface="Arial"/>
                    <a:ea typeface="Arial"/>
                    <a:cs typeface="Arial"/>
                  </a:defRPr>
                </a:pPr>
                <a:r>
                  <a:rPr lang="en-US"/>
                  <a:t>Number</a:t>
                </a:r>
              </a:p>
            </c:rich>
          </c:tx>
          <c:layout>
            <c:manualLayout>
              <c:xMode val="edge"/>
              <c:yMode val="edge"/>
              <c:x val="0.401941747572816"/>
              <c:y val="0.8914762425669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29468424"/>
        <c:crosses val="autoZero"/>
        <c:crossBetween val="midCat"/>
        <c:majorUnit val="1.0"/>
      </c:valAx>
      <c:valAx>
        <c:axId val="2129468424"/>
        <c:scaling>
          <c:orientation val="minMax"/>
          <c:max val="100.0"/>
          <c:min val="0.0"/>
        </c:scaling>
        <c:delete val="0"/>
        <c:axPos val="l"/>
        <c:title>
          <c:tx>
            <c:rich>
              <a:bodyPr/>
              <a:lstStyle/>
              <a:p>
                <a:pPr>
                  <a:defRPr sz="1050" b="1" i="0" u="none" strike="noStrike" baseline="0">
                    <a:solidFill>
                      <a:srgbClr val="000000"/>
                    </a:solidFill>
                    <a:latin typeface="Arial"/>
                    <a:ea typeface="Arial"/>
                    <a:cs typeface="Arial"/>
                  </a:defRPr>
                </a:pPr>
                <a:r>
                  <a:rPr lang="en-US"/>
                  <a:t>Pricee</a:t>
                </a:r>
              </a:p>
            </c:rich>
          </c:tx>
          <c:layout>
            <c:manualLayout>
              <c:xMode val="edge"/>
              <c:yMode val="edge"/>
              <c:x val="0.0129449838187702"/>
              <c:y val="0.412146330545891"/>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29460344"/>
        <c:crosses val="autoZero"/>
        <c:crossBetween val="midCat"/>
        <c:majorUnit val="20.0"/>
      </c:valAx>
      <c:spPr>
        <a:solidFill>
          <a:srgbClr val="FFFFCC"/>
        </a:solidFill>
        <a:ln w="12700">
          <a:solidFill>
            <a:srgbClr val="808080"/>
          </a:solidFill>
          <a:prstDash val="solid"/>
        </a:ln>
      </c:spPr>
    </c:plotArea>
    <c:legend>
      <c:legendPos val="r"/>
      <c:layout>
        <c:manualLayout>
          <c:xMode val="edge"/>
          <c:yMode val="edge"/>
          <c:x val="0.757281553398058"/>
          <c:y val="0.263566889106745"/>
          <c:w val="0.231067961165049"/>
          <c:h val="0.51550582722348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Opportunity Costs Below a Given Price</a:t>
            </a:r>
          </a:p>
        </c:rich>
      </c:tx>
      <c:layout>
        <c:manualLayout>
          <c:xMode val="edge"/>
          <c:yMode val="edge"/>
          <c:x val="0.233009708737864"/>
          <c:y val="0.0387598366333448"/>
        </c:manualLayout>
      </c:layout>
      <c:overlay val="0"/>
      <c:spPr>
        <a:noFill/>
        <a:ln w="25400">
          <a:noFill/>
        </a:ln>
      </c:spPr>
    </c:title>
    <c:autoTitleDeleted val="0"/>
    <c:plotArea>
      <c:layout>
        <c:manualLayout>
          <c:layoutTarget val="inner"/>
          <c:xMode val="edge"/>
          <c:yMode val="edge"/>
          <c:x val="0.18252427184466"/>
          <c:y val="0.279070823760083"/>
          <c:w val="0.553398058252427"/>
          <c:h val="0.515505827223486"/>
        </c:manualLayout>
      </c:layout>
      <c:scatterChart>
        <c:scatterStyle val="lineMarker"/>
        <c:varyColors val="0"/>
        <c:ser>
          <c:idx val="4"/>
          <c:order val="0"/>
          <c:tx>
            <c:strRef>
              <c:f>CSSols!$K$69</c:f>
              <c:strCache>
                <c:ptCount val="1"/>
                <c:pt idx="0">
                  <c:v>Serena's Cost</c:v>
                </c:pt>
              </c:strCache>
            </c:strRef>
          </c:tx>
          <c:spPr>
            <a:ln w="25400">
              <a:solidFill>
                <a:srgbClr val="800080"/>
              </a:solidFill>
              <a:prstDash val="solid"/>
            </a:ln>
          </c:spPr>
          <c:marker>
            <c:symbol val="dot"/>
            <c:size val="2"/>
            <c:spPr>
              <a:noFill/>
              <a:ln>
                <a:solidFill>
                  <a:srgbClr val="800080"/>
                </a:solidFill>
                <a:prstDash val="solid"/>
              </a:ln>
            </c:spPr>
          </c:marker>
          <c:xVal>
            <c:numRef>
              <c:f>CSSols!$H$69:$H$70</c:f>
              <c:numCache>
                <c:formatCode>General</c:formatCode>
                <c:ptCount val="2"/>
                <c:pt idx="0">
                  <c:v>1.0</c:v>
                </c:pt>
                <c:pt idx="1">
                  <c:v>0.0</c:v>
                </c:pt>
              </c:numCache>
            </c:numRef>
          </c:xVal>
          <c:yVal>
            <c:numRef>
              <c:f>CSSols!$I$69:$I$70</c:f>
              <c:numCache>
                <c:formatCode>"$"#,##0.00</c:formatCode>
                <c:ptCount val="2"/>
                <c:pt idx="0">
                  <c:v>22.3</c:v>
                </c:pt>
                <c:pt idx="1">
                  <c:v>22.3</c:v>
                </c:pt>
              </c:numCache>
            </c:numRef>
          </c:yVal>
          <c:smooth val="0"/>
        </c:ser>
        <c:ser>
          <c:idx val="3"/>
          <c:order val="1"/>
          <c:tx>
            <c:strRef>
              <c:f>CSSols!$K$67</c:f>
              <c:strCache>
                <c:ptCount val="1"/>
                <c:pt idx="0">
                  <c:v>Mickey's Cost</c:v>
                </c:pt>
              </c:strCache>
            </c:strRef>
          </c:tx>
          <c:spPr>
            <a:ln w="25400">
              <a:solidFill>
                <a:srgbClr val="00FFFF"/>
              </a:solidFill>
              <a:prstDash val="sysDash"/>
            </a:ln>
          </c:spPr>
          <c:marker>
            <c:symbol val="dot"/>
            <c:size val="5"/>
            <c:spPr>
              <a:noFill/>
              <a:ln>
                <a:solidFill>
                  <a:srgbClr val="00FFFF"/>
                </a:solidFill>
                <a:prstDash val="solid"/>
              </a:ln>
            </c:spPr>
          </c:marker>
          <c:xVal>
            <c:numRef>
              <c:f>CSSols!$H$67:$H$68</c:f>
              <c:numCache>
                <c:formatCode>General</c:formatCode>
                <c:ptCount val="2"/>
                <c:pt idx="0">
                  <c:v>2.0</c:v>
                </c:pt>
                <c:pt idx="1">
                  <c:v>1.0</c:v>
                </c:pt>
              </c:numCache>
            </c:numRef>
          </c:xVal>
          <c:yVal>
            <c:numRef>
              <c:f>CSSols!$I$67:$I$68</c:f>
              <c:numCache>
                <c:formatCode>"$"#,##0.00</c:formatCode>
                <c:ptCount val="2"/>
                <c:pt idx="0">
                  <c:v>38.7</c:v>
                </c:pt>
                <c:pt idx="1">
                  <c:v>38.7</c:v>
                </c:pt>
              </c:numCache>
            </c:numRef>
          </c:yVal>
          <c:smooth val="0"/>
        </c:ser>
        <c:ser>
          <c:idx val="2"/>
          <c:order val="2"/>
          <c:tx>
            <c:strRef>
              <c:f>CSSols!$K$65</c:f>
              <c:strCache>
                <c:ptCount val="1"/>
                <c:pt idx="0">
                  <c:v>Kobe's Cost</c:v>
                </c:pt>
              </c:strCache>
            </c:strRef>
          </c:tx>
          <c:spPr>
            <a:ln w="25400">
              <a:solidFill>
                <a:srgbClr val="FF6600"/>
              </a:solidFill>
              <a:prstDash val="dashDot"/>
            </a:ln>
          </c:spPr>
          <c:marker>
            <c:symbol val="dot"/>
            <c:size val="5"/>
            <c:spPr>
              <a:solidFill>
                <a:srgbClr val="FF6600"/>
              </a:solidFill>
              <a:ln>
                <a:solidFill>
                  <a:srgbClr val="FF6600"/>
                </a:solidFill>
                <a:prstDash val="solid"/>
              </a:ln>
            </c:spPr>
          </c:marker>
          <c:xVal>
            <c:numRef>
              <c:f>CSSols!$H$65:$H$66</c:f>
              <c:numCache>
                <c:formatCode>General</c:formatCode>
                <c:ptCount val="2"/>
                <c:pt idx="0">
                  <c:v>3.0</c:v>
                </c:pt>
                <c:pt idx="1">
                  <c:v>2.0</c:v>
                </c:pt>
              </c:numCache>
            </c:numRef>
          </c:xVal>
          <c:yVal>
            <c:numRef>
              <c:f>CSSols!$I$65:$I$66</c:f>
              <c:numCache>
                <c:formatCode>"$"#,##0.00</c:formatCode>
                <c:ptCount val="2"/>
                <c:pt idx="0">
                  <c:v>60.1</c:v>
                </c:pt>
                <c:pt idx="1">
                  <c:v>60.1</c:v>
                </c:pt>
              </c:numCache>
            </c:numRef>
          </c:yVal>
          <c:smooth val="0"/>
        </c:ser>
        <c:ser>
          <c:idx val="1"/>
          <c:order val="3"/>
          <c:tx>
            <c:strRef>
              <c:f>CSSols!$K$63</c:f>
              <c:strCache>
                <c:ptCount val="1"/>
                <c:pt idx="0">
                  <c:v>Venus's Cost</c:v>
                </c:pt>
              </c:strCache>
            </c:strRef>
          </c:tx>
          <c:spPr>
            <a:ln w="25400">
              <a:solidFill>
                <a:srgbClr val="FF00FF"/>
              </a:solidFill>
              <a:prstDash val="lgDashDotDot"/>
            </a:ln>
          </c:spPr>
          <c:marker>
            <c:symbol val="dot"/>
            <c:size val="5"/>
            <c:spPr>
              <a:solidFill>
                <a:srgbClr val="FF00FF"/>
              </a:solidFill>
              <a:ln>
                <a:solidFill>
                  <a:srgbClr val="FF00FF"/>
                </a:solidFill>
                <a:prstDash val="solid"/>
              </a:ln>
            </c:spPr>
          </c:marker>
          <c:xVal>
            <c:numRef>
              <c:f>CSSols!$H$63:$H$64</c:f>
              <c:numCache>
                <c:formatCode>General</c:formatCode>
                <c:ptCount val="2"/>
                <c:pt idx="0">
                  <c:v>4.0</c:v>
                </c:pt>
                <c:pt idx="1">
                  <c:v>3.0</c:v>
                </c:pt>
              </c:numCache>
            </c:numRef>
          </c:xVal>
          <c:yVal>
            <c:numRef>
              <c:f>CSSols!$I$63:$I$64</c:f>
              <c:numCache>
                <c:formatCode>"$"#,##0.00</c:formatCode>
                <c:ptCount val="2"/>
                <c:pt idx="0">
                  <c:v>70.5</c:v>
                </c:pt>
                <c:pt idx="1">
                  <c:v>70.5</c:v>
                </c:pt>
              </c:numCache>
            </c:numRef>
          </c:yVal>
          <c:smooth val="0"/>
        </c:ser>
        <c:ser>
          <c:idx val="0"/>
          <c:order val="4"/>
          <c:tx>
            <c:strRef>
              <c:f>CSSols!$K$61</c:f>
              <c:strCache>
                <c:ptCount val="1"/>
                <c:pt idx="0">
                  <c:v>Tiger's Cost</c:v>
                </c:pt>
              </c:strCache>
            </c:strRef>
          </c:tx>
          <c:spPr>
            <a:ln w="25400">
              <a:solidFill>
                <a:srgbClr val="000080"/>
              </a:solidFill>
              <a:prstDash val="sysDot"/>
            </a:ln>
          </c:spPr>
          <c:marker>
            <c:symbol val="dot"/>
            <c:size val="5"/>
            <c:spPr>
              <a:solidFill>
                <a:srgbClr val="000080"/>
              </a:solidFill>
              <a:ln>
                <a:solidFill>
                  <a:srgbClr val="000080"/>
                </a:solidFill>
                <a:prstDash val="solid"/>
              </a:ln>
            </c:spPr>
          </c:marker>
          <c:xVal>
            <c:numRef>
              <c:f>CSSols!$H$61:$H$62</c:f>
              <c:numCache>
                <c:formatCode>General</c:formatCode>
                <c:ptCount val="2"/>
                <c:pt idx="0">
                  <c:v>5.0</c:v>
                </c:pt>
                <c:pt idx="1">
                  <c:v>4.0</c:v>
                </c:pt>
              </c:numCache>
            </c:numRef>
          </c:xVal>
          <c:yVal>
            <c:numRef>
              <c:f>CSSols!$I$61:$I$62</c:f>
              <c:numCache>
                <c:formatCode>"$"#,##0.00</c:formatCode>
                <c:ptCount val="2"/>
                <c:pt idx="0">
                  <c:v>89.0</c:v>
                </c:pt>
                <c:pt idx="1">
                  <c:v>89.0</c:v>
                </c:pt>
              </c:numCache>
            </c:numRef>
          </c:yVal>
          <c:smooth val="0"/>
        </c:ser>
        <c:ser>
          <c:idx val="5"/>
          <c:order val="5"/>
          <c:tx>
            <c:v>Price Line</c:v>
          </c:tx>
          <c:spPr>
            <a:ln w="25400">
              <a:solidFill>
                <a:srgbClr val="800000"/>
              </a:solidFill>
              <a:prstDash val="solid"/>
            </a:ln>
          </c:spPr>
          <c:marker>
            <c:symbol val="dot"/>
            <c:size val="5"/>
            <c:spPr>
              <a:solidFill>
                <a:srgbClr val="800000"/>
              </a:solidFill>
              <a:ln>
                <a:solidFill>
                  <a:srgbClr val="800000"/>
                </a:solidFill>
                <a:prstDash val="solid"/>
              </a:ln>
            </c:spPr>
          </c:marker>
          <c:xVal>
            <c:numRef>
              <c:f>CSSols!$H$73:$H$74</c:f>
              <c:numCache>
                <c:formatCode>General</c:formatCode>
                <c:ptCount val="2"/>
                <c:pt idx="0">
                  <c:v>0.0</c:v>
                </c:pt>
                <c:pt idx="1">
                  <c:v>6.0</c:v>
                </c:pt>
              </c:numCache>
            </c:numRef>
          </c:xVal>
          <c:yVal>
            <c:numRef>
              <c:f>CSSols!$I$73:$I$74</c:f>
              <c:numCache>
                <c:formatCode>"$"#,##0.00</c:formatCode>
                <c:ptCount val="2"/>
                <c:pt idx="0">
                  <c:v>30.8</c:v>
                </c:pt>
                <c:pt idx="1">
                  <c:v>30.8</c:v>
                </c:pt>
              </c:numCache>
            </c:numRef>
          </c:yVal>
          <c:smooth val="0"/>
        </c:ser>
        <c:dLbls>
          <c:showLegendKey val="0"/>
          <c:showVal val="0"/>
          <c:showCatName val="0"/>
          <c:showSerName val="0"/>
          <c:showPercent val="0"/>
          <c:showBubbleSize val="0"/>
        </c:dLbls>
        <c:axId val="2131188296"/>
        <c:axId val="2131196376"/>
      </c:scatterChart>
      <c:valAx>
        <c:axId val="2131188296"/>
        <c:scaling>
          <c:orientation val="minMax"/>
          <c:max val="5.0"/>
          <c:min val="0.0"/>
        </c:scaling>
        <c:delete val="0"/>
        <c:axPos val="b"/>
        <c:title>
          <c:tx>
            <c:rich>
              <a:bodyPr/>
              <a:lstStyle/>
              <a:p>
                <a:pPr>
                  <a:defRPr sz="1050" b="1" i="0" u="none" strike="noStrike" baseline="0">
                    <a:solidFill>
                      <a:srgbClr val="000000"/>
                    </a:solidFill>
                    <a:latin typeface="Arial"/>
                    <a:ea typeface="Arial"/>
                    <a:cs typeface="Arial"/>
                  </a:defRPr>
                </a:pPr>
                <a:r>
                  <a:rPr lang="en-US"/>
                  <a:t>Number</a:t>
                </a:r>
              </a:p>
            </c:rich>
          </c:tx>
          <c:layout>
            <c:manualLayout>
              <c:xMode val="edge"/>
              <c:yMode val="edge"/>
              <c:x val="0.401941747572816"/>
              <c:y val="0.8914762425669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31196376"/>
        <c:crosses val="autoZero"/>
        <c:crossBetween val="midCat"/>
        <c:majorUnit val="1.0"/>
      </c:valAx>
      <c:valAx>
        <c:axId val="2131196376"/>
        <c:scaling>
          <c:orientation val="minMax"/>
          <c:max val="100.0"/>
          <c:min val="0.0"/>
        </c:scaling>
        <c:delete val="0"/>
        <c:axPos val="l"/>
        <c:title>
          <c:tx>
            <c:rich>
              <a:bodyPr/>
              <a:lstStyle/>
              <a:p>
                <a:pPr>
                  <a:defRPr sz="1050" b="1" i="0" u="none" strike="noStrike" baseline="0">
                    <a:solidFill>
                      <a:srgbClr val="000000"/>
                    </a:solidFill>
                    <a:latin typeface="Arial"/>
                    <a:ea typeface="Arial"/>
                    <a:cs typeface="Arial"/>
                  </a:defRPr>
                </a:pPr>
                <a:r>
                  <a:rPr lang="en-US"/>
                  <a:t>Pricee</a:t>
                </a:r>
              </a:p>
            </c:rich>
          </c:tx>
          <c:layout>
            <c:manualLayout>
              <c:xMode val="edge"/>
              <c:yMode val="edge"/>
              <c:x val="0.0129449838187702"/>
              <c:y val="0.412146330545891"/>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31188296"/>
        <c:crosses val="autoZero"/>
        <c:crossBetween val="midCat"/>
        <c:majorUnit val="20.0"/>
      </c:valAx>
      <c:spPr>
        <a:solidFill>
          <a:srgbClr val="FFFFCC"/>
        </a:solidFill>
        <a:ln w="12700">
          <a:solidFill>
            <a:srgbClr val="808080"/>
          </a:solidFill>
          <a:prstDash val="solid"/>
        </a:ln>
      </c:spPr>
    </c:plotArea>
    <c:legend>
      <c:legendPos val="r"/>
      <c:layout>
        <c:manualLayout>
          <c:xMode val="edge"/>
          <c:yMode val="edge"/>
          <c:x val="0.757281553398058"/>
          <c:y val="0.263566889106745"/>
          <c:w val="0.231067961165049"/>
          <c:h val="0.51550582722348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Trades</a:t>
            </a:r>
          </a:p>
        </c:rich>
      </c:tx>
      <c:layout>
        <c:manualLayout>
          <c:xMode val="edge"/>
          <c:yMode val="edge"/>
          <c:x val="0.450644249015316"/>
          <c:y val="0.0420561707254188"/>
        </c:manualLayout>
      </c:layout>
      <c:overlay val="0"/>
      <c:spPr>
        <a:noFill/>
        <a:ln w="25400">
          <a:noFill/>
        </a:ln>
      </c:spPr>
    </c:title>
    <c:autoTitleDeleted val="0"/>
    <c:plotArea>
      <c:layout>
        <c:manualLayout>
          <c:layoutTarget val="inner"/>
          <c:xMode val="edge"/>
          <c:yMode val="edge"/>
          <c:x val="0.193133249577993"/>
          <c:y val="0.140187235751396"/>
          <c:w val="0.457082024001249"/>
          <c:h val="0.607478021589382"/>
        </c:manualLayout>
      </c:layout>
      <c:scatterChart>
        <c:scatterStyle val="lineMarker"/>
        <c:varyColors val="0"/>
        <c:ser>
          <c:idx val="0"/>
          <c:order val="0"/>
          <c:tx>
            <c:v>Demand Curve</c:v>
          </c:tx>
          <c:spPr>
            <a:ln w="12700">
              <a:solidFill>
                <a:srgbClr val="000080"/>
              </a:solidFill>
              <a:prstDash val="sysDash"/>
            </a:ln>
          </c:spPr>
          <c:marker>
            <c:symbol val="dot"/>
            <c:size val="2"/>
            <c:spPr>
              <a:solidFill>
                <a:srgbClr val="000080"/>
              </a:solidFill>
              <a:ln>
                <a:solidFill>
                  <a:srgbClr val="000080"/>
                </a:solidFill>
                <a:prstDash val="solid"/>
              </a:ln>
            </c:spPr>
          </c:marker>
          <c:xVal>
            <c:numRef>
              <c:f>TradeSols!$R$77:$R$87</c:f>
              <c:numCache>
                <c:formatCode>General</c:formatCode>
                <c:ptCount val="11"/>
                <c:pt idx="0">
                  <c:v>0.0</c:v>
                </c:pt>
                <c:pt idx="1">
                  <c:v>1.0</c:v>
                </c:pt>
                <c:pt idx="2">
                  <c:v>1.0</c:v>
                </c:pt>
                <c:pt idx="3">
                  <c:v>2.0</c:v>
                </c:pt>
                <c:pt idx="4">
                  <c:v>2.0</c:v>
                </c:pt>
                <c:pt idx="5">
                  <c:v>3.0</c:v>
                </c:pt>
                <c:pt idx="6">
                  <c:v>3.0</c:v>
                </c:pt>
                <c:pt idx="7">
                  <c:v>4.0</c:v>
                </c:pt>
                <c:pt idx="8">
                  <c:v>4.0</c:v>
                </c:pt>
                <c:pt idx="9">
                  <c:v>5.0</c:v>
                </c:pt>
                <c:pt idx="10">
                  <c:v>5.0</c:v>
                </c:pt>
              </c:numCache>
            </c:numRef>
          </c:xVal>
          <c:yVal>
            <c:numRef>
              <c:f>TradeSols!$S$77:$S$87</c:f>
              <c:numCache>
                <c:formatCode>"$"#,##0.00</c:formatCode>
                <c:ptCount val="11"/>
                <c:pt idx="0">
                  <c:v>0.0</c:v>
                </c:pt>
                <c:pt idx="1">
                  <c:v>0.0</c:v>
                </c:pt>
                <c:pt idx="2">
                  <c:v>0.0</c:v>
                </c:pt>
                <c:pt idx="3">
                  <c:v>0.0</c:v>
                </c:pt>
                <c:pt idx="4">
                  <c:v>0.0</c:v>
                </c:pt>
                <c:pt idx="5">
                  <c:v>0.0</c:v>
                </c:pt>
                <c:pt idx="6">
                  <c:v>0.0</c:v>
                </c:pt>
                <c:pt idx="7">
                  <c:v>0.0</c:v>
                </c:pt>
                <c:pt idx="8">
                  <c:v>0.0</c:v>
                </c:pt>
                <c:pt idx="9">
                  <c:v>0.0</c:v>
                </c:pt>
                <c:pt idx="10">
                  <c:v>0.0</c:v>
                </c:pt>
              </c:numCache>
            </c:numRef>
          </c:yVal>
          <c:smooth val="0"/>
        </c:ser>
        <c:ser>
          <c:idx val="1"/>
          <c:order val="1"/>
          <c:tx>
            <c:v>Supply Curve</c:v>
          </c:tx>
          <c:spPr>
            <a:ln w="12700">
              <a:solidFill>
                <a:srgbClr val="FF00FF"/>
              </a:solidFill>
              <a:prstDash val="lgDashDot"/>
            </a:ln>
          </c:spPr>
          <c:marker>
            <c:symbol val="dot"/>
            <c:size val="2"/>
            <c:spPr>
              <a:solidFill>
                <a:srgbClr val="FF00FF"/>
              </a:solidFill>
              <a:ln>
                <a:solidFill>
                  <a:srgbClr val="FF00FF"/>
                </a:solidFill>
                <a:prstDash val="solid"/>
              </a:ln>
            </c:spPr>
          </c:marker>
          <c:xVal>
            <c:numRef>
              <c:f>TradeSols!$R$77:$R$86</c:f>
              <c:numCache>
                <c:formatCode>General</c:formatCode>
                <c:ptCount val="10"/>
                <c:pt idx="0">
                  <c:v>0.0</c:v>
                </c:pt>
                <c:pt idx="1">
                  <c:v>1.0</c:v>
                </c:pt>
                <c:pt idx="2">
                  <c:v>1.0</c:v>
                </c:pt>
                <c:pt idx="3">
                  <c:v>2.0</c:v>
                </c:pt>
                <c:pt idx="4">
                  <c:v>2.0</c:v>
                </c:pt>
                <c:pt idx="5">
                  <c:v>3.0</c:v>
                </c:pt>
                <c:pt idx="6">
                  <c:v>3.0</c:v>
                </c:pt>
                <c:pt idx="7">
                  <c:v>4.0</c:v>
                </c:pt>
                <c:pt idx="8">
                  <c:v>4.0</c:v>
                </c:pt>
                <c:pt idx="9">
                  <c:v>5.0</c:v>
                </c:pt>
              </c:numCache>
            </c:numRef>
          </c:xVal>
          <c:yVal>
            <c:numRef>
              <c:f>TradeSols!$Q$77:$Q$86</c:f>
              <c:numCache>
                <c:formatCode>"$"#,##0.00</c:formatCode>
                <c:ptCount val="10"/>
                <c:pt idx="0">
                  <c:v>0.0</c:v>
                </c:pt>
                <c:pt idx="1">
                  <c:v>0.0</c:v>
                </c:pt>
                <c:pt idx="2">
                  <c:v>0.0</c:v>
                </c:pt>
                <c:pt idx="3">
                  <c:v>0.0</c:v>
                </c:pt>
                <c:pt idx="4">
                  <c:v>0.0</c:v>
                </c:pt>
                <c:pt idx="5">
                  <c:v>0.0</c:v>
                </c:pt>
                <c:pt idx="6">
                  <c:v>0.0</c:v>
                </c:pt>
                <c:pt idx="7">
                  <c:v>0.0</c:v>
                </c:pt>
                <c:pt idx="8">
                  <c:v>0.0</c:v>
                </c:pt>
                <c:pt idx="9">
                  <c:v>0.0</c:v>
                </c:pt>
              </c:numCache>
            </c:numRef>
          </c:yVal>
          <c:smooth val="0"/>
        </c:ser>
        <c:ser>
          <c:idx val="2"/>
          <c:order val="2"/>
          <c:tx>
            <c:strRef>
              <c:f>TradeSols!$L$46</c:f>
              <c:strCache>
                <c:ptCount val="1"/>
                <c:pt idx="0">
                  <c:v>0</c:v>
                </c:pt>
              </c:strCache>
            </c:strRef>
          </c:tx>
          <c:spPr>
            <a:ln w="38100">
              <a:solidFill>
                <a:srgbClr val="000000"/>
              </a:solidFill>
              <a:prstDash val="solid"/>
            </a:ln>
          </c:spPr>
          <c:marker>
            <c:symbol val="dot"/>
            <c:size val="5"/>
            <c:spPr>
              <a:solidFill>
                <a:srgbClr val="000000"/>
              </a:solidFill>
              <a:ln>
                <a:solidFill>
                  <a:srgbClr val="000000"/>
                </a:solidFill>
                <a:prstDash val="solid"/>
              </a:ln>
            </c:spPr>
          </c:marker>
          <c:xVal>
            <c:numRef>
              <c:f>TradeSols!$M$46:$M$47</c:f>
              <c:numCache>
                <c:formatCode>General</c:formatCode>
                <c:ptCount val="2"/>
                <c:pt idx="0">
                  <c:v>3.0</c:v>
                </c:pt>
                <c:pt idx="1">
                  <c:v>4.0</c:v>
                </c:pt>
              </c:numCache>
            </c:numRef>
          </c:xVal>
          <c:yVal>
            <c:numRef>
              <c:f>TradeSols!$N$46:$N$47</c:f>
              <c:numCache>
                <c:formatCode>"$"#,##0.00</c:formatCode>
                <c:ptCount val="2"/>
                <c:pt idx="0">
                  <c:v>0.0</c:v>
                </c:pt>
                <c:pt idx="1">
                  <c:v>0.0</c:v>
                </c:pt>
              </c:numCache>
            </c:numRef>
          </c:yVal>
          <c:smooth val="0"/>
        </c:ser>
        <c:ser>
          <c:idx val="3"/>
          <c:order val="3"/>
          <c:tx>
            <c:strRef>
              <c:f>TradeSols!$L$48</c:f>
              <c:strCache>
                <c:ptCount val="1"/>
                <c:pt idx="0">
                  <c:v>0</c:v>
                </c:pt>
              </c:strCache>
            </c:strRef>
          </c:tx>
          <c:spPr>
            <a:ln w="38100">
              <a:solidFill>
                <a:srgbClr val="FF0000"/>
              </a:solidFill>
              <a:prstDash val="solid"/>
            </a:ln>
          </c:spPr>
          <c:marker>
            <c:symbol val="dot"/>
            <c:size val="2"/>
            <c:spPr>
              <a:solidFill>
                <a:srgbClr val="FF0000"/>
              </a:solidFill>
              <a:ln>
                <a:solidFill>
                  <a:srgbClr val="FF0000"/>
                </a:solidFill>
                <a:prstDash val="solid"/>
              </a:ln>
            </c:spPr>
          </c:marker>
          <c:xVal>
            <c:numRef>
              <c:f>TradeSols!$M$48:$M$49</c:f>
              <c:numCache>
                <c:formatCode>General</c:formatCode>
                <c:ptCount val="2"/>
                <c:pt idx="0">
                  <c:v>0.0</c:v>
                </c:pt>
                <c:pt idx="1">
                  <c:v>1.0</c:v>
                </c:pt>
              </c:numCache>
            </c:numRef>
          </c:xVal>
          <c:yVal>
            <c:numRef>
              <c:f>TradeSols!$N$48:$N$49</c:f>
              <c:numCache>
                <c:formatCode>"$"#,##0.00</c:formatCode>
                <c:ptCount val="2"/>
                <c:pt idx="0">
                  <c:v>0.0</c:v>
                </c:pt>
                <c:pt idx="1">
                  <c:v>0.0</c:v>
                </c:pt>
              </c:numCache>
            </c:numRef>
          </c:yVal>
          <c:smooth val="0"/>
        </c:ser>
        <c:ser>
          <c:idx val="5"/>
          <c:order val="4"/>
          <c:tx>
            <c:v>Price Line</c:v>
          </c:tx>
          <c:spPr>
            <a:ln w="12700">
              <a:solidFill>
                <a:srgbClr val="800000"/>
              </a:solidFill>
              <a:prstDash val="lgDashDotDot"/>
            </a:ln>
          </c:spPr>
          <c:marker>
            <c:symbol val="dot"/>
            <c:size val="5"/>
            <c:spPr>
              <a:solidFill>
                <a:srgbClr val="800000"/>
              </a:solidFill>
              <a:ln>
                <a:solidFill>
                  <a:srgbClr val="800000"/>
                </a:solidFill>
                <a:prstDash val="solid"/>
              </a:ln>
            </c:spPr>
          </c:marker>
          <c:xVal>
            <c:numRef>
              <c:f>TradeSols!$M$51:$M$52</c:f>
              <c:numCache>
                <c:formatCode>General</c:formatCode>
                <c:ptCount val="2"/>
                <c:pt idx="0">
                  <c:v>0.0</c:v>
                </c:pt>
                <c:pt idx="1">
                  <c:v>6.0</c:v>
                </c:pt>
              </c:numCache>
            </c:numRef>
          </c:xVal>
          <c:yVal>
            <c:numRef>
              <c:f>TradeSols!$N$51:$N$52</c:f>
              <c:numCache>
                <c:formatCode>"$"#,##0.00</c:formatCode>
                <c:ptCount val="2"/>
                <c:pt idx="0">
                  <c:v>0.0</c:v>
                </c:pt>
                <c:pt idx="1">
                  <c:v>0.0</c:v>
                </c:pt>
              </c:numCache>
            </c:numRef>
          </c:yVal>
          <c:smooth val="0"/>
        </c:ser>
        <c:dLbls>
          <c:showLegendKey val="0"/>
          <c:showVal val="0"/>
          <c:showCatName val="0"/>
          <c:showSerName val="0"/>
          <c:showPercent val="0"/>
          <c:showBubbleSize val="0"/>
        </c:dLbls>
        <c:axId val="2129980872"/>
        <c:axId val="2129970680"/>
      </c:scatterChart>
      <c:valAx>
        <c:axId val="2129980872"/>
        <c:scaling>
          <c:orientation val="minMax"/>
          <c:max val="5.0"/>
          <c:min val="0.0"/>
        </c:scaling>
        <c:delete val="0"/>
        <c:axPos val="b"/>
        <c:title>
          <c:tx>
            <c:rich>
              <a:bodyPr/>
              <a:lstStyle/>
              <a:p>
                <a:pPr>
                  <a:defRPr sz="975" b="1" i="0" u="none" strike="noStrike" baseline="0">
                    <a:solidFill>
                      <a:srgbClr val="000000"/>
                    </a:solidFill>
                    <a:latin typeface="Arial"/>
                    <a:ea typeface="Arial"/>
                    <a:cs typeface="Arial"/>
                  </a:defRPr>
                </a:pPr>
                <a:r>
                  <a:rPr lang="en-US"/>
                  <a:t>Number</a:t>
                </a:r>
              </a:p>
            </c:rich>
          </c:tx>
          <c:layout>
            <c:manualLayout>
              <c:xMode val="edge"/>
              <c:yMode val="edge"/>
              <c:x val="0.409871674104406"/>
              <c:y val="0.8738337695170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29970680"/>
        <c:crosses val="autoZero"/>
        <c:crossBetween val="midCat"/>
        <c:majorUnit val="1.0"/>
      </c:valAx>
      <c:valAx>
        <c:axId val="2129970680"/>
        <c:scaling>
          <c:orientation val="minMax"/>
          <c:max val="100.0"/>
          <c:min val="0.0"/>
        </c:scaling>
        <c:delete val="0"/>
        <c:axPos val="l"/>
        <c:title>
          <c:tx>
            <c:rich>
              <a:bodyPr/>
              <a:lstStyle/>
              <a:p>
                <a:pPr>
                  <a:defRPr sz="975" b="1" i="0" u="none" strike="noStrike" baseline="0">
                    <a:solidFill>
                      <a:srgbClr val="000000"/>
                    </a:solidFill>
                    <a:latin typeface="Arial"/>
                    <a:ea typeface="Arial"/>
                    <a:cs typeface="Arial"/>
                  </a:defRPr>
                </a:pPr>
                <a:r>
                  <a:rPr lang="en-US"/>
                  <a:t>Pricee</a:t>
                </a:r>
              </a:p>
            </c:rich>
          </c:tx>
          <c:layout>
            <c:manualLayout>
              <c:xMode val="edge"/>
              <c:yMode val="edge"/>
              <c:x val="0.011444921316166"/>
              <c:y val="0.359814065297913"/>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29980872"/>
        <c:crosses val="autoZero"/>
        <c:crossBetween val="midCat"/>
        <c:majorUnit val="20.0"/>
      </c:valAx>
      <c:spPr>
        <a:solidFill>
          <a:srgbClr val="FFFFCC"/>
        </a:solidFill>
        <a:ln w="12700">
          <a:solidFill>
            <a:srgbClr val="808080"/>
          </a:solidFill>
          <a:prstDash val="solid"/>
        </a:ln>
      </c:spPr>
    </c:plotArea>
    <c:legend>
      <c:legendPos val="r"/>
      <c:layout>
        <c:manualLayout>
          <c:xMode val="edge"/>
          <c:yMode val="edge"/>
          <c:x val="0.690987848490151"/>
          <c:y val="0.238318300777373"/>
          <c:w val="0.2918457993623"/>
          <c:h val="0.495328232988265"/>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en-US"/>
              <a:t>Trades</a:t>
            </a:r>
          </a:p>
        </c:rich>
      </c:tx>
      <c:layout>
        <c:manualLayout>
          <c:xMode val="edge"/>
          <c:yMode val="edge"/>
          <c:x val="0.451613851675596"/>
          <c:y val="0.0412844036697248"/>
        </c:manualLayout>
      </c:layout>
      <c:overlay val="0"/>
      <c:spPr>
        <a:noFill/>
        <a:ln w="25400">
          <a:noFill/>
        </a:ln>
      </c:spPr>
    </c:title>
    <c:autoTitleDeleted val="0"/>
    <c:plotArea>
      <c:layout>
        <c:manualLayout>
          <c:layoutTarget val="inner"/>
          <c:xMode val="edge"/>
          <c:yMode val="edge"/>
          <c:x val="0.193548793575255"/>
          <c:y val="0.137614678899083"/>
          <c:w val="0.455914935977268"/>
          <c:h val="0.614678899082569"/>
        </c:manualLayout>
      </c:layout>
      <c:scatterChart>
        <c:scatterStyle val="lineMarker"/>
        <c:varyColors val="0"/>
        <c:ser>
          <c:idx val="0"/>
          <c:order val="0"/>
          <c:tx>
            <c:v>Demand Curve</c:v>
          </c:tx>
          <c:spPr>
            <a:ln w="12700">
              <a:solidFill>
                <a:srgbClr val="000080"/>
              </a:solidFill>
              <a:prstDash val="sysDash"/>
            </a:ln>
          </c:spPr>
          <c:marker>
            <c:symbol val="dot"/>
            <c:size val="2"/>
            <c:spPr>
              <a:solidFill>
                <a:srgbClr val="000080"/>
              </a:solidFill>
              <a:ln>
                <a:solidFill>
                  <a:srgbClr val="000080"/>
                </a:solidFill>
                <a:prstDash val="solid"/>
              </a:ln>
            </c:spPr>
          </c:marker>
          <c:xVal>
            <c:numRef>
              <c:f>TradeSols!$R$77:$R$87</c:f>
              <c:numCache>
                <c:formatCode>General</c:formatCode>
                <c:ptCount val="11"/>
                <c:pt idx="0">
                  <c:v>0.0</c:v>
                </c:pt>
                <c:pt idx="1">
                  <c:v>1.0</c:v>
                </c:pt>
                <c:pt idx="2">
                  <c:v>1.0</c:v>
                </c:pt>
                <c:pt idx="3">
                  <c:v>2.0</c:v>
                </c:pt>
                <c:pt idx="4">
                  <c:v>2.0</c:v>
                </c:pt>
                <c:pt idx="5">
                  <c:v>3.0</c:v>
                </c:pt>
                <c:pt idx="6">
                  <c:v>3.0</c:v>
                </c:pt>
                <c:pt idx="7">
                  <c:v>4.0</c:v>
                </c:pt>
                <c:pt idx="8">
                  <c:v>4.0</c:v>
                </c:pt>
                <c:pt idx="9">
                  <c:v>5.0</c:v>
                </c:pt>
                <c:pt idx="10">
                  <c:v>5.0</c:v>
                </c:pt>
              </c:numCache>
            </c:numRef>
          </c:xVal>
          <c:yVal>
            <c:numRef>
              <c:f>TradeSols!$S$77:$S$87</c:f>
              <c:numCache>
                <c:formatCode>"$"#,##0.00</c:formatCode>
                <c:ptCount val="11"/>
                <c:pt idx="0">
                  <c:v>0.0</c:v>
                </c:pt>
                <c:pt idx="1">
                  <c:v>0.0</c:v>
                </c:pt>
                <c:pt idx="2">
                  <c:v>0.0</c:v>
                </c:pt>
                <c:pt idx="3">
                  <c:v>0.0</c:v>
                </c:pt>
                <c:pt idx="4">
                  <c:v>0.0</c:v>
                </c:pt>
                <c:pt idx="5">
                  <c:v>0.0</c:v>
                </c:pt>
                <c:pt idx="6">
                  <c:v>0.0</c:v>
                </c:pt>
                <c:pt idx="7">
                  <c:v>0.0</c:v>
                </c:pt>
                <c:pt idx="8">
                  <c:v>0.0</c:v>
                </c:pt>
                <c:pt idx="9">
                  <c:v>0.0</c:v>
                </c:pt>
                <c:pt idx="10">
                  <c:v>0.0</c:v>
                </c:pt>
              </c:numCache>
            </c:numRef>
          </c:yVal>
          <c:smooth val="0"/>
        </c:ser>
        <c:ser>
          <c:idx val="1"/>
          <c:order val="1"/>
          <c:tx>
            <c:v>Supply Curve</c:v>
          </c:tx>
          <c:spPr>
            <a:ln w="12700">
              <a:solidFill>
                <a:srgbClr val="FF00FF"/>
              </a:solidFill>
              <a:prstDash val="lgDashDot"/>
            </a:ln>
          </c:spPr>
          <c:marker>
            <c:symbol val="dot"/>
            <c:size val="2"/>
            <c:spPr>
              <a:solidFill>
                <a:srgbClr val="FF00FF"/>
              </a:solidFill>
              <a:ln>
                <a:solidFill>
                  <a:srgbClr val="FF00FF"/>
                </a:solidFill>
                <a:prstDash val="solid"/>
              </a:ln>
            </c:spPr>
          </c:marker>
          <c:xVal>
            <c:numRef>
              <c:f>TradeSols!$R$77:$R$86</c:f>
              <c:numCache>
                <c:formatCode>General</c:formatCode>
                <c:ptCount val="10"/>
                <c:pt idx="0">
                  <c:v>0.0</c:v>
                </c:pt>
                <c:pt idx="1">
                  <c:v>1.0</c:v>
                </c:pt>
                <c:pt idx="2">
                  <c:v>1.0</c:v>
                </c:pt>
                <c:pt idx="3">
                  <c:v>2.0</c:v>
                </c:pt>
                <c:pt idx="4">
                  <c:v>2.0</c:v>
                </c:pt>
                <c:pt idx="5">
                  <c:v>3.0</c:v>
                </c:pt>
                <c:pt idx="6">
                  <c:v>3.0</c:v>
                </c:pt>
                <c:pt idx="7">
                  <c:v>4.0</c:v>
                </c:pt>
                <c:pt idx="8">
                  <c:v>4.0</c:v>
                </c:pt>
                <c:pt idx="9">
                  <c:v>5.0</c:v>
                </c:pt>
              </c:numCache>
            </c:numRef>
          </c:xVal>
          <c:yVal>
            <c:numRef>
              <c:f>TradeSols!$Q$77:$Q$86</c:f>
              <c:numCache>
                <c:formatCode>"$"#,##0.00</c:formatCode>
                <c:ptCount val="10"/>
                <c:pt idx="0">
                  <c:v>0.0</c:v>
                </c:pt>
                <c:pt idx="1">
                  <c:v>0.0</c:v>
                </c:pt>
                <c:pt idx="2">
                  <c:v>0.0</c:v>
                </c:pt>
                <c:pt idx="3">
                  <c:v>0.0</c:v>
                </c:pt>
                <c:pt idx="4">
                  <c:v>0.0</c:v>
                </c:pt>
                <c:pt idx="5">
                  <c:v>0.0</c:v>
                </c:pt>
                <c:pt idx="6">
                  <c:v>0.0</c:v>
                </c:pt>
                <c:pt idx="7">
                  <c:v>0.0</c:v>
                </c:pt>
                <c:pt idx="8">
                  <c:v>0.0</c:v>
                </c:pt>
                <c:pt idx="9">
                  <c:v>0.0</c:v>
                </c:pt>
              </c:numCache>
            </c:numRef>
          </c:yVal>
          <c:smooth val="0"/>
        </c:ser>
        <c:ser>
          <c:idx val="2"/>
          <c:order val="2"/>
          <c:tx>
            <c:strRef>
              <c:f>TradeSols!$I$93</c:f>
              <c:strCache>
                <c:ptCount val="1"/>
                <c:pt idx="0">
                  <c:v>0</c:v>
                </c:pt>
              </c:strCache>
            </c:strRef>
          </c:tx>
          <c:spPr>
            <a:ln w="38100">
              <a:solidFill>
                <a:srgbClr val="000000"/>
              </a:solidFill>
              <a:prstDash val="solid"/>
            </a:ln>
          </c:spPr>
          <c:marker>
            <c:symbol val="dot"/>
            <c:size val="5"/>
            <c:spPr>
              <a:solidFill>
                <a:srgbClr val="000000"/>
              </a:solidFill>
              <a:ln>
                <a:solidFill>
                  <a:srgbClr val="000000"/>
                </a:solidFill>
                <a:prstDash val="solid"/>
              </a:ln>
            </c:spPr>
          </c:marker>
          <c:xVal>
            <c:numRef>
              <c:f>TradeSols!$J$93:$J$94</c:f>
              <c:numCache>
                <c:formatCode>General</c:formatCode>
                <c:ptCount val="2"/>
                <c:pt idx="0">
                  <c:v>0.0</c:v>
                </c:pt>
                <c:pt idx="1">
                  <c:v>1.0</c:v>
                </c:pt>
              </c:numCache>
            </c:numRef>
          </c:xVal>
          <c:yVal>
            <c:numRef>
              <c:f>TradeSols!$K$93:$K$94</c:f>
              <c:numCache>
                <c:formatCode>"$"#,##0.00</c:formatCode>
                <c:ptCount val="2"/>
                <c:pt idx="0">
                  <c:v>0.0</c:v>
                </c:pt>
                <c:pt idx="1">
                  <c:v>0.0</c:v>
                </c:pt>
              </c:numCache>
            </c:numRef>
          </c:yVal>
          <c:smooth val="0"/>
        </c:ser>
        <c:ser>
          <c:idx val="3"/>
          <c:order val="3"/>
          <c:tx>
            <c:strRef>
              <c:f>TradeSols!$I$95</c:f>
              <c:strCache>
                <c:ptCount val="1"/>
                <c:pt idx="0">
                  <c:v>0</c:v>
                </c:pt>
              </c:strCache>
            </c:strRef>
          </c:tx>
          <c:spPr>
            <a:ln w="38100">
              <a:solidFill>
                <a:srgbClr val="FF0000"/>
              </a:solidFill>
              <a:prstDash val="solid"/>
            </a:ln>
          </c:spPr>
          <c:marker>
            <c:symbol val="dot"/>
            <c:size val="2"/>
            <c:spPr>
              <a:solidFill>
                <a:srgbClr val="FF0000"/>
              </a:solidFill>
              <a:ln>
                <a:solidFill>
                  <a:srgbClr val="FF0000"/>
                </a:solidFill>
                <a:prstDash val="solid"/>
              </a:ln>
            </c:spPr>
          </c:marker>
          <c:xVal>
            <c:numRef>
              <c:f>TradeSols!$J$95:$J$96</c:f>
              <c:numCache>
                <c:formatCode>General</c:formatCode>
                <c:ptCount val="2"/>
                <c:pt idx="0">
                  <c:v>0.0</c:v>
                </c:pt>
                <c:pt idx="1">
                  <c:v>1.0</c:v>
                </c:pt>
              </c:numCache>
            </c:numRef>
          </c:xVal>
          <c:yVal>
            <c:numRef>
              <c:f>TradeSols!$K$95:$K$96</c:f>
              <c:numCache>
                <c:formatCode>"$"#,##0.00</c:formatCode>
                <c:ptCount val="2"/>
                <c:pt idx="0">
                  <c:v>0.0</c:v>
                </c:pt>
                <c:pt idx="1">
                  <c:v>0.0</c:v>
                </c:pt>
              </c:numCache>
            </c:numRef>
          </c:yVal>
          <c:smooth val="0"/>
        </c:ser>
        <c:ser>
          <c:idx val="5"/>
          <c:order val="4"/>
          <c:tx>
            <c:v>Price Line</c:v>
          </c:tx>
          <c:spPr>
            <a:ln w="12700">
              <a:solidFill>
                <a:srgbClr val="800000"/>
              </a:solidFill>
              <a:prstDash val="lgDashDotDot"/>
            </a:ln>
          </c:spPr>
          <c:marker>
            <c:symbol val="dot"/>
            <c:size val="5"/>
            <c:spPr>
              <a:solidFill>
                <a:srgbClr val="800000"/>
              </a:solidFill>
              <a:ln>
                <a:solidFill>
                  <a:srgbClr val="800000"/>
                </a:solidFill>
                <a:prstDash val="solid"/>
              </a:ln>
            </c:spPr>
          </c:marker>
          <c:xVal>
            <c:numRef>
              <c:f>TradeSols!$M$51:$M$52</c:f>
              <c:numCache>
                <c:formatCode>General</c:formatCode>
                <c:ptCount val="2"/>
                <c:pt idx="0">
                  <c:v>0.0</c:v>
                </c:pt>
                <c:pt idx="1">
                  <c:v>6.0</c:v>
                </c:pt>
              </c:numCache>
            </c:numRef>
          </c:xVal>
          <c:yVal>
            <c:numRef>
              <c:f>TradeSols!$K$97:$K$98</c:f>
              <c:numCache>
                <c:formatCode>"$"#,##0.00</c:formatCode>
                <c:ptCount val="2"/>
                <c:pt idx="0">
                  <c:v>0.0</c:v>
                </c:pt>
                <c:pt idx="1">
                  <c:v>0.0</c:v>
                </c:pt>
              </c:numCache>
            </c:numRef>
          </c:yVal>
          <c:smooth val="0"/>
        </c:ser>
        <c:dLbls>
          <c:showLegendKey val="0"/>
          <c:showVal val="0"/>
          <c:showCatName val="0"/>
          <c:showSerName val="0"/>
          <c:showPercent val="0"/>
          <c:showBubbleSize val="0"/>
        </c:dLbls>
        <c:axId val="2130239944"/>
        <c:axId val="2130261736"/>
      </c:scatterChart>
      <c:valAx>
        <c:axId val="2130239944"/>
        <c:scaling>
          <c:orientation val="minMax"/>
          <c:max val="5.0"/>
          <c:min val="0.0"/>
        </c:scaling>
        <c:delete val="0"/>
        <c:axPos val="b"/>
        <c:title>
          <c:tx>
            <c:rich>
              <a:bodyPr/>
              <a:lstStyle/>
              <a:p>
                <a:pPr>
                  <a:defRPr sz="975" b="1" i="0" u="none" strike="noStrike" baseline="0">
                    <a:solidFill>
                      <a:srgbClr val="000000"/>
                    </a:solidFill>
                    <a:latin typeface="Arial"/>
                    <a:ea typeface="Arial"/>
                    <a:cs typeface="Arial"/>
                  </a:defRPr>
                </a:pPr>
                <a:r>
                  <a:rPr lang="en-US"/>
                  <a:t>Number</a:t>
                </a:r>
              </a:p>
            </c:rich>
          </c:tx>
          <c:layout>
            <c:manualLayout>
              <c:xMode val="edge"/>
              <c:yMode val="edge"/>
              <c:x val="0.410753550809709"/>
              <c:y val="0.876146788990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30261736"/>
        <c:crosses val="autoZero"/>
        <c:crossBetween val="midCat"/>
        <c:majorUnit val="1.0"/>
      </c:valAx>
      <c:valAx>
        <c:axId val="2130261736"/>
        <c:scaling>
          <c:orientation val="minMax"/>
          <c:max val="100.0"/>
          <c:min val="0.0"/>
        </c:scaling>
        <c:delete val="0"/>
        <c:axPos val="l"/>
        <c:title>
          <c:tx>
            <c:rich>
              <a:bodyPr/>
              <a:lstStyle/>
              <a:p>
                <a:pPr>
                  <a:defRPr sz="975" b="1" i="0" u="none" strike="noStrike" baseline="0">
                    <a:solidFill>
                      <a:srgbClr val="000000"/>
                    </a:solidFill>
                    <a:latin typeface="Arial"/>
                    <a:ea typeface="Arial"/>
                    <a:cs typeface="Arial"/>
                  </a:defRPr>
                </a:pPr>
                <a:r>
                  <a:rPr lang="en-US"/>
                  <a:t>Pricee</a:t>
                </a:r>
              </a:p>
            </c:rich>
          </c:tx>
          <c:layout>
            <c:manualLayout>
              <c:xMode val="edge"/>
              <c:yMode val="edge"/>
              <c:x val="0.014336917562724"/>
              <c:y val="0.362385321100917"/>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130239944"/>
        <c:crosses val="autoZero"/>
        <c:crossBetween val="midCat"/>
        <c:majorUnit val="20.0"/>
      </c:valAx>
      <c:spPr>
        <a:solidFill>
          <a:srgbClr val="FFFFCC"/>
        </a:solidFill>
        <a:ln w="12700">
          <a:solidFill>
            <a:srgbClr val="808080"/>
          </a:solidFill>
          <a:prstDash val="solid"/>
        </a:ln>
      </c:spPr>
    </c:plotArea>
    <c:legend>
      <c:legendPos val="r"/>
      <c:layout>
        <c:manualLayout>
          <c:xMode val="edge"/>
          <c:yMode val="edge"/>
          <c:x val="0.690324030418411"/>
          <c:y val="0.243119266055046"/>
          <c:w val="0.292473732513719"/>
          <c:h val="0.486238532110092"/>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Trades</a:t>
            </a:r>
          </a:p>
        </c:rich>
      </c:tx>
      <c:layout>
        <c:manualLayout>
          <c:xMode val="edge"/>
          <c:yMode val="edge"/>
          <c:x val="0.452831115760768"/>
          <c:y val="0.0420561707254188"/>
        </c:manualLayout>
      </c:layout>
      <c:overlay val="0"/>
      <c:spPr>
        <a:noFill/>
        <a:ln w="25400">
          <a:noFill/>
        </a:ln>
      </c:spPr>
    </c:title>
    <c:autoTitleDeleted val="0"/>
    <c:plotArea>
      <c:layout>
        <c:manualLayout>
          <c:layoutTarget val="inner"/>
          <c:xMode val="edge"/>
          <c:yMode val="edge"/>
          <c:x val="0.188679631566987"/>
          <c:y val="0.140187235751396"/>
          <c:w val="0.469602638566723"/>
          <c:h val="0.607478021589382"/>
        </c:manualLayout>
      </c:layout>
      <c:scatterChart>
        <c:scatterStyle val="lineMarker"/>
        <c:varyColors val="0"/>
        <c:ser>
          <c:idx val="0"/>
          <c:order val="0"/>
          <c:tx>
            <c:v>Demand Curve</c:v>
          </c:tx>
          <c:spPr>
            <a:ln w="12700">
              <a:solidFill>
                <a:srgbClr val="000080"/>
              </a:solidFill>
              <a:prstDash val="lgDashDotDot"/>
            </a:ln>
          </c:spPr>
          <c:marker>
            <c:symbol val="dot"/>
            <c:size val="2"/>
            <c:spPr>
              <a:solidFill>
                <a:srgbClr val="000080"/>
              </a:solidFill>
              <a:ln>
                <a:solidFill>
                  <a:srgbClr val="000080"/>
                </a:solidFill>
                <a:prstDash val="solid"/>
              </a:ln>
            </c:spPr>
          </c:marker>
          <c:xVal>
            <c:numRef>
              <c:f>TradeSols!$R$77:$R$87</c:f>
              <c:numCache>
                <c:formatCode>General</c:formatCode>
                <c:ptCount val="11"/>
                <c:pt idx="0">
                  <c:v>0.0</c:v>
                </c:pt>
                <c:pt idx="1">
                  <c:v>1.0</c:v>
                </c:pt>
                <c:pt idx="2">
                  <c:v>1.0</c:v>
                </c:pt>
                <c:pt idx="3">
                  <c:v>2.0</c:v>
                </c:pt>
                <c:pt idx="4">
                  <c:v>2.0</c:v>
                </c:pt>
                <c:pt idx="5">
                  <c:v>3.0</c:v>
                </c:pt>
                <c:pt idx="6">
                  <c:v>3.0</c:v>
                </c:pt>
                <c:pt idx="7">
                  <c:v>4.0</c:v>
                </c:pt>
                <c:pt idx="8">
                  <c:v>4.0</c:v>
                </c:pt>
                <c:pt idx="9">
                  <c:v>5.0</c:v>
                </c:pt>
                <c:pt idx="10">
                  <c:v>5.0</c:v>
                </c:pt>
              </c:numCache>
            </c:numRef>
          </c:xVal>
          <c:yVal>
            <c:numRef>
              <c:f>TradeSols!$S$77:$S$87</c:f>
              <c:numCache>
                <c:formatCode>"$"#,##0.00</c:formatCode>
                <c:ptCount val="11"/>
                <c:pt idx="0">
                  <c:v>0.0</c:v>
                </c:pt>
                <c:pt idx="1">
                  <c:v>0.0</c:v>
                </c:pt>
                <c:pt idx="2">
                  <c:v>0.0</c:v>
                </c:pt>
                <c:pt idx="3">
                  <c:v>0.0</c:v>
                </c:pt>
                <c:pt idx="4">
                  <c:v>0.0</c:v>
                </c:pt>
                <c:pt idx="5">
                  <c:v>0.0</c:v>
                </c:pt>
                <c:pt idx="6">
                  <c:v>0.0</c:v>
                </c:pt>
                <c:pt idx="7">
                  <c:v>0.0</c:v>
                </c:pt>
                <c:pt idx="8">
                  <c:v>0.0</c:v>
                </c:pt>
                <c:pt idx="9">
                  <c:v>0.0</c:v>
                </c:pt>
                <c:pt idx="10">
                  <c:v>0.0</c:v>
                </c:pt>
              </c:numCache>
            </c:numRef>
          </c:yVal>
          <c:smooth val="0"/>
        </c:ser>
        <c:ser>
          <c:idx val="1"/>
          <c:order val="1"/>
          <c:tx>
            <c:v>Supply Curve</c:v>
          </c:tx>
          <c:spPr>
            <a:ln w="12700">
              <a:solidFill>
                <a:srgbClr val="FF00FF"/>
              </a:solidFill>
              <a:prstDash val="lgDashDot"/>
            </a:ln>
          </c:spPr>
          <c:marker>
            <c:symbol val="dot"/>
            <c:size val="2"/>
            <c:spPr>
              <a:solidFill>
                <a:srgbClr val="FF00FF"/>
              </a:solidFill>
              <a:ln>
                <a:solidFill>
                  <a:srgbClr val="FF00FF"/>
                </a:solidFill>
                <a:prstDash val="solid"/>
              </a:ln>
            </c:spPr>
          </c:marker>
          <c:xVal>
            <c:numRef>
              <c:f>TradeSols!$R$77:$R$86</c:f>
              <c:numCache>
                <c:formatCode>General</c:formatCode>
                <c:ptCount val="10"/>
                <c:pt idx="0">
                  <c:v>0.0</c:v>
                </c:pt>
                <c:pt idx="1">
                  <c:v>1.0</c:v>
                </c:pt>
                <c:pt idx="2">
                  <c:v>1.0</c:v>
                </c:pt>
                <c:pt idx="3">
                  <c:v>2.0</c:v>
                </c:pt>
                <c:pt idx="4">
                  <c:v>2.0</c:v>
                </c:pt>
                <c:pt idx="5">
                  <c:v>3.0</c:v>
                </c:pt>
                <c:pt idx="6">
                  <c:v>3.0</c:v>
                </c:pt>
                <c:pt idx="7">
                  <c:v>4.0</c:v>
                </c:pt>
                <c:pt idx="8">
                  <c:v>4.0</c:v>
                </c:pt>
                <c:pt idx="9">
                  <c:v>5.0</c:v>
                </c:pt>
              </c:numCache>
            </c:numRef>
          </c:xVal>
          <c:yVal>
            <c:numRef>
              <c:f>TradeSols!$Q$77:$Q$86</c:f>
              <c:numCache>
                <c:formatCode>"$"#,##0.00</c:formatCode>
                <c:ptCount val="10"/>
                <c:pt idx="0">
                  <c:v>0.0</c:v>
                </c:pt>
                <c:pt idx="1">
                  <c:v>0.0</c:v>
                </c:pt>
                <c:pt idx="2">
                  <c:v>0.0</c:v>
                </c:pt>
                <c:pt idx="3">
                  <c:v>0.0</c:v>
                </c:pt>
                <c:pt idx="4">
                  <c:v>0.0</c:v>
                </c:pt>
                <c:pt idx="5">
                  <c:v>0.0</c:v>
                </c:pt>
                <c:pt idx="6">
                  <c:v>0.0</c:v>
                </c:pt>
                <c:pt idx="7">
                  <c:v>0.0</c:v>
                </c:pt>
                <c:pt idx="8">
                  <c:v>0.0</c:v>
                </c:pt>
                <c:pt idx="9">
                  <c:v>0.0</c:v>
                </c:pt>
              </c:numCache>
            </c:numRef>
          </c:yVal>
          <c:smooth val="0"/>
        </c:ser>
        <c:ser>
          <c:idx val="2"/>
          <c:order val="2"/>
          <c:tx>
            <c:strRef>
              <c:f>TradeSols!$L$46</c:f>
              <c:strCache>
                <c:ptCount val="1"/>
                <c:pt idx="0">
                  <c:v>0</c:v>
                </c:pt>
              </c:strCache>
            </c:strRef>
          </c:tx>
          <c:spPr>
            <a:ln w="38100">
              <a:solidFill>
                <a:srgbClr val="000000"/>
              </a:solidFill>
              <a:prstDash val="solid"/>
            </a:ln>
          </c:spPr>
          <c:marker>
            <c:symbol val="dot"/>
            <c:size val="5"/>
            <c:spPr>
              <a:solidFill>
                <a:srgbClr val="000000"/>
              </a:solidFill>
              <a:ln>
                <a:solidFill>
                  <a:srgbClr val="000000"/>
                </a:solidFill>
                <a:prstDash val="solid"/>
              </a:ln>
            </c:spPr>
          </c:marker>
          <c:xVal>
            <c:numRef>
              <c:f>TradeSols!$M$46:$M$47</c:f>
              <c:numCache>
                <c:formatCode>General</c:formatCode>
                <c:ptCount val="2"/>
                <c:pt idx="0">
                  <c:v>3.0</c:v>
                </c:pt>
                <c:pt idx="1">
                  <c:v>4.0</c:v>
                </c:pt>
              </c:numCache>
            </c:numRef>
          </c:xVal>
          <c:yVal>
            <c:numRef>
              <c:f>TradeSols!$N$46:$N$47</c:f>
              <c:numCache>
                <c:formatCode>"$"#,##0.00</c:formatCode>
                <c:ptCount val="2"/>
                <c:pt idx="0">
                  <c:v>0.0</c:v>
                </c:pt>
                <c:pt idx="1">
                  <c:v>0.0</c:v>
                </c:pt>
              </c:numCache>
            </c:numRef>
          </c:yVal>
          <c:smooth val="0"/>
        </c:ser>
        <c:ser>
          <c:idx val="3"/>
          <c:order val="3"/>
          <c:tx>
            <c:strRef>
              <c:f>TradeSols!$L$48</c:f>
              <c:strCache>
                <c:ptCount val="1"/>
                <c:pt idx="0">
                  <c:v>0</c:v>
                </c:pt>
              </c:strCache>
            </c:strRef>
          </c:tx>
          <c:spPr>
            <a:ln w="38100">
              <a:solidFill>
                <a:srgbClr val="FF0000"/>
              </a:solidFill>
              <a:prstDash val="solid"/>
            </a:ln>
          </c:spPr>
          <c:marker>
            <c:symbol val="dot"/>
            <c:size val="2"/>
            <c:spPr>
              <a:solidFill>
                <a:srgbClr val="FF0000"/>
              </a:solidFill>
              <a:ln>
                <a:solidFill>
                  <a:srgbClr val="FF0000"/>
                </a:solidFill>
                <a:prstDash val="solid"/>
              </a:ln>
            </c:spPr>
          </c:marker>
          <c:xVal>
            <c:numRef>
              <c:f>TradeSols!$M$48:$M$49</c:f>
              <c:numCache>
                <c:formatCode>General</c:formatCode>
                <c:ptCount val="2"/>
                <c:pt idx="0">
                  <c:v>0.0</c:v>
                </c:pt>
                <c:pt idx="1">
                  <c:v>1.0</c:v>
                </c:pt>
              </c:numCache>
            </c:numRef>
          </c:xVal>
          <c:yVal>
            <c:numRef>
              <c:f>TradeSols!$N$48:$N$49</c:f>
              <c:numCache>
                <c:formatCode>"$"#,##0.00</c:formatCode>
                <c:ptCount val="2"/>
                <c:pt idx="0">
                  <c:v>0.0</c:v>
                </c:pt>
                <c:pt idx="1">
                  <c:v>0.0</c:v>
                </c:pt>
              </c:numCache>
            </c:numRef>
          </c:yVal>
          <c:smooth val="0"/>
        </c:ser>
        <c:ser>
          <c:idx val="5"/>
          <c:order val="4"/>
          <c:tx>
            <c:v>Price Line</c:v>
          </c:tx>
          <c:spPr>
            <a:ln w="12700">
              <a:solidFill>
                <a:srgbClr val="800000"/>
              </a:solidFill>
              <a:prstDash val="lgDashDotDot"/>
            </a:ln>
          </c:spPr>
          <c:marker>
            <c:symbol val="dot"/>
            <c:size val="5"/>
            <c:spPr>
              <a:solidFill>
                <a:srgbClr val="800000"/>
              </a:solidFill>
              <a:ln>
                <a:solidFill>
                  <a:srgbClr val="800000"/>
                </a:solidFill>
                <a:prstDash val="solid"/>
              </a:ln>
            </c:spPr>
          </c:marker>
          <c:xVal>
            <c:numRef>
              <c:f>TradeSols!$M$51:$M$52</c:f>
              <c:numCache>
                <c:formatCode>General</c:formatCode>
                <c:ptCount val="2"/>
                <c:pt idx="0">
                  <c:v>0.0</c:v>
                </c:pt>
                <c:pt idx="1">
                  <c:v>6.0</c:v>
                </c:pt>
              </c:numCache>
            </c:numRef>
          </c:xVal>
          <c:yVal>
            <c:numRef>
              <c:f>TradeSols!$N$51:$N$52</c:f>
              <c:numCache>
                <c:formatCode>"$"#,##0.00</c:formatCode>
                <c:ptCount val="2"/>
                <c:pt idx="0">
                  <c:v>0.0</c:v>
                </c:pt>
                <c:pt idx="1">
                  <c:v>0.0</c:v>
                </c:pt>
              </c:numCache>
            </c:numRef>
          </c:yVal>
          <c:smooth val="0"/>
        </c:ser>
        <c:dLbls>
          <c:showLegendKey val="0"/>
          <c:showVal val="0"/>
          <c:showCatName val="0"/>
          <c:showSerName val="0"/>
          <c:showPercent val="0"/>
          <c:showBubbleSize val="0"/>
        </c:dLbls>
        <c:axId val="2130429288"/>
        <c:axId val="2130437576"/>
      </c:scatterChart>
      <c:valAx>
        <c:axId val="2130429288"/>
        <c:scaling>
          <c:orientation val="minMax"/>
          <c:max val="5.0"/>
          <c:min val="0.0"/>
        </c:scaling>
        <c:delete val="0"/>
        <c:axPos val="b"/>
        <c:title>
          <c:tx>
            <c:rich>
              <a:bodyPr/>
              <a:lstStyle/>
              <a:p>
                <a:pPr>
                  <a:defRPr sz="1000" b="1" i="0" u="none" strike="noStrike" baseline="0">
                    <a:solidFill>
                      <a:srgbClr val="000000"/>
                    </a:solidFill>
                    <a:latin typeface="Arial"/>
                    <a:ea typeface="Arial"/>
                    <a:cs typeface="Arial"/>
                  </a:defRPr>
                </a:pPr>
                <a:r>
                  <a:rPr lang="en-US"/>
                  <a:t>Number</a:t>
                </a:r>
              </a:p>
            </c:rich>
          </c:tx>
          <c:layout>
            <c:manualLayout>
              <c:xMode val="edge"/>
              <c:yMode val="edge"/>
              <c:x val="0.415095189447371"/>
              <c:y val="0.8738337695170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2130437576"/>
        <c:crosses val="autoZero"/>
        <c:crossBetween val="midCat"/>
        <c:majorUnit val="1.0"/>
      </c:valAx>
      <c:valAx>
        <c:axId val="2130437576"/>
        <c:scaling>
          <c:orientation val="minMax"/>
          <c:max val="90.0"/>
          <c:min val="10.0"/>
        </c:scaling>
        <c:delete val="0"/>
        <c:axPos val="l"/>
        <c:title>
          <c:tx>
            <c:rich>
              <a:bodyPr/>
              <a:lstStyle/>
              <a:p>
                <a:pPr>
                  <a:defRPr sz="1000" b="1" i="0" u="none" strike="noStrike" baseline="0">
                    <a:solidFill>
                      <a:srgbClr val="000000"/>
                    </a:solidFill>
                    <a:latin typeface="Arial"/>
                    <a:ea typeface="Arial"/>
                    <a:cs typeface="Arial"/>
                  </a:defRPr>
                </a:pPr>
                <a:r>
                  <a:rPr lang="en-US"/>
                  <a:t>Pricee</a:t>
                </a:r>
              </a:p>
            </c:rich>
          </c:tx>
          <c:layout>
            <c:manualLayout>
              <c:xMode val="edge"/>
              <c:yMode val="edge"/>
              <c:x val="0.0335430456119088"/>
              <c:y val="0.359813905095249"/>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2130429288"/>
        <c:crosses val="autoZero"/>
        <c:crossBetween val="midCat"/>
      </c:valAx>
      <c:spPr>
        <a:solidFill>
          <a:srgbClr val="FFFFCC"/>
        </a:solidFill>
        <a:ln w="12700">
          <a:solidFill>
            <a:srgbClr val="808080"/>
          </a:solidFill>
          <a:prstDash val="solid"/>
        </a:ln>
      </c:spPr>
    </c:plotArea>
    <c:legend>
      <c:legendPos val="r"/>
      <c:layout>
        <c:manualLayout>
          <c:xMode val="edge"/>
          <c:yMode val="edge"/>
          <c:x val="0.698114636797851"/>
          <c:y val="0.238318300777373"/>
          <c:w val="0.285115887701224"/>
          <c:h val="0.495328232988265"/>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Trades</a:t>
            </a:r>
          </a:p>
        </c:rich>
      </c:tx>
      <c:layout>
        <c:manualLayout>
          <c:xMode val="edge"/>
          <c:yMode val="edge"/>
          <c:x val="0.452831115760768"/>
          <c:y val="0.0420561707254188"/>
        </c:manualLayout>
      </c:layout>
      <c:overlay val="0"/>
      <c:spPr>
        <a:noFill/>
        <a:ln w="25400">
          <a:noFill/>
        </a:ln>
      </c:spPr>
    </c:title>
    <c:autoTitleDeleted val="0"/>
    <c:plotArea>
      <c:layout>
        <c:manualLayout>
          <c:layoutTarget val="inner"/>
          <c:xMode val="edge"/>
          <c:yMode val="edge"/>
          <c:x val="0.188679631566987"/>
          <c:y val="0.140187235751396"/>
          <c:w val="0.469602638566723"/>
          <c:h val="0.607478021589382"/>
        </c:manualLayout>
      </c:layout>
      <c:scatterChart>
        <c:scatterStyle val="lineMarker"/>
        <c:varyColors val="0"/>
        <c:ser>
          <c:idx val="0"/>
          <c:order val="0"/>
          <c:tx>
            <c:v>Demand Curve</c:v>
          </c:tx>
          <c:spPr>
            <a:ln w="12700">
              <a:solidFill>
                <a:srgbClr val="000080"/>
              </a:solidFill>
              <a:prstDash val="lgDashDotDot"/>
            </a:ln>
          </c:spPr>
          <c:marker>
            <c:symbol val="dot"/>
            <c:size val="2"/>
            <c:spPr>
              <a:solidFill>
                <a:srgbClr val="000080"/>
              </a:solidFill>
              <a:ln>
                <a:solidFill>
                  <a:srgbClr val="000080"/>
                </a:solidFill>
                <a:prstDash val="solid"/>
              </a:ln>
            </c:spPr>
          </c:marker>
          <c:xVal>
            <c:numRef>
              <c:f>TradeSols!$R$77:$R$87</c:f>
              <c:numCache>
                <c:formatCode>General</c:formatCode>
                <c:ptCount val="11"/>
                <c:pt idx="0">
                  <c:v>0.0</c:v>
                </c:pt>
                <c:pt idx="1">
                  <c:v>1.0</c:v>
                </c:pt>
                <c:pt idx="2">
                  <c:v>1.0</c:v>
                </c:pt>
                <c:pt idx="3">
                  <c:v>2.0</c:v>
                </c:pt>
                <c:pt idx="4">
                  <c:v>2.0</c:v>
                </c:pt>
                <c:pt idx="5">
                  <c:v>3.0</c:v>
                </c:pt>
                <c:pt idx="6">
                  <c:v>3.0</c:v>
                </c:pt>
                <c:pt idx="7">
                  <c:v>4.0</c:v>
                </c:pt>
                <c:pt idx="8">
                  <c:v>4.0</c:v>
                </c:pt>
                <c:pt idx="9">
                  <c:v>5.0</c:v>
                </c:pt>
                <c:pt idx="10">
                  <c:v>5.0</c:v>
                </c:pt>
              </c:numCache>
            </c:numRef>
          </c:xVal>
          <c:yVal>
            <c:numRef>
              <c:f>TradeSols!$S$77:$S$87</c:f>
              <c:numCache>
                <c:formatCode>"$"#,##0.00</c:formatCode>
                <c:ptCount val="11"/>
                <c:pt idx="0">
                  <c:v>0.0</c:v>
                </c:pt>
                <c:pt idx="1">
                  <c:v>0.0</c:v>
                </c:pt>
                <c:pt idx="2">
                  <c:v>0.0</c:v>
                </c:pt>
                <c:pt idx="3">
                  <c:v>0.0</c:v>
                </c:pt>
                <c:pt idx="4">
                  <c:v>0.0</c:v>
                </c:pt>
                <c:pt idx="5">
                  <c:v>0.0</c:v>
                </c:pt>
                <c:pt idx="6">
                  <c:v>0.0</c:v>
                </c:pt>
                <c:pt idx="7">
                  <c:v>0.0</c:v>
                </c:pt>
                <c:pt idx="8">
                  <c:v>0.0</c:v>
                </c:pt>
                <c:pt idx="9">
                  <c:v>0.0</c:v>
                </c:pt>
                <c:pt idx="10">
                  <c:v>0.0</c:v>
                </c:pt>
              </c:numCache>
            </c:numRef>
          </c:yVal>
          <c:smooth val="0"/>
        </c:ser>
        <c:ser>
          <c:idx val="1"/>
          <c:order val="1"/>
          <c:tx>
            <c:v>Supply Curve</c:v>
          </c:tx>
          <c:spPr>
            <a:ln w="12700">
              <a:solidFill>
                <a:srgbClr val="FF00FF"/>
              </a:solidFill>
              <a:prstDash val="lgDashDot"/>
            </a:ln>
          </c:spPr>
          <c:marker>
            <c:symbol val="dot"/>
            <c:size val="2"/>
            <c:spPr>
              <a:solidFill>
                <a:srgbClr val="FF00FF"/>
              </a:solidFill>
              <a:ln>
                <a:solidFill>
                  <a:srgbClr val="FF00FF"/>
                </a:solidFill>
                <a:prstDash val="solid"/>
              </a:ln>
            </c:spPr>
          </c:marker>
          <c:xVal>
            <c:numRef>
              <c:f>TradeSols!$R$77:$R$86</c:f>
              <c:numCache>
                <c:formatCode>General</c:formatCode>
                <c:ptCount val="10"/>
                <c:pt idx="0">
                  <c:v>0.0</c:v>
                </c:pt>
                <c:pt idx="1">
                  <c:v>1.0</c:v>
                </c:pt>
                <c:pt idx="2">
                  <c:v>1.0</c:v>
                </c:pt>
                <c:pt idx="3">
                  <c:v>2.0</c:v>
                </c:pt>
                <c:pt idx="4">
                  <c:v>2.0</c:v>
                </c:pt>
                <c:pt idx="5">
                  <c:v>3.0</c:v>
                </c:pt>
                <c:pt idx="6">
                  <c:v>3.0</c:v>
                </c:pt>
                <c:pt idx="7">
                  <c:v>4.0</c:v>
                </c:pt>
                <c:pt idx="8">
                  <c:v>4.0</c:v>
                </c:pt>
                <c:pt idx="9">
                  <c:v>5.0</c:v>
                </c:pt>
              </c:numCache>
            </c:numRef>
          </c:xVal>
          <c:yVal>
            <c:numRef>
              <c:f>TradeSols!$Q$77:$Q$86</c:f>
              <c:numCache>
                <c:formatCode>"$"#,##0.00</c:formatCode>
                <c:ptCount val="10"/>
                <c:pt idx="0">
                  <c:v>0.0</c:v>
                </c:pt>
                <c:pt idx="1">
                  <c:v>0.0</c:v>
                </c:pt>
                <c:pt idx="2">
                  <c:v>0.0</c:v>
                </c:pt>
                <c:pt idx="3">
                  <c:v>0.0</c:v>
                </c:pt>
                <c:pt idx="4">
                  <c:v>0.0</c:v>
                </c:pt>
                <c:pt idx="5">
                  <c:v>0.0</c:v>
                </c:pt>
                <c:pt idx="6">
                  <c:v>0.0</c:v>
                </c:pt>
                <c:pt idx="7">
                  <c:v>0.0</c:v>
                </c:pt>
                <c:pt idx="8">
                  <c:v>0.0</c:v>
                </c:pt>
                <c:pt idx="9">
                  <c:v>0.0</c:v>
                </c:pt>
              </c:numCache>
            </c:numRef>
          </c:yVal>
          <c:smooth val="0"/>
        </c:ser>
        <c:ser>
          <c:idx val="2"/>
          <c:order val="2"/>
          <c:tx>
            <c:strRef>
              <c:f>TradeSols!$I$93</c:f>
              <c:strCache>
                <c:ptCount val="1"/>
                <c:pt idx="0">
                  <c:v>0</c:v>
                </c:pt>
              </c:strCache>
            </c:strRef>
          </c:tx>
          <c:spPr>
            <a:ln w="38100">
              <a:solidFill>
                <a:srgbClr val="000000"/>
              </a:solidFill>
              <a:prstDash val="solid"/>
            </a:ln>
          </c:spPr>
          <c:marker>
            <c:symbol val="dot"/>
            <c:size val="5"/>
            <c:spPr>
              <a:solidFill>
                <a:srgbClr val="000000"/>
              </a:solidFill>
              <a:ln>
                <a:solidFill>
                  <a:srgbClr val="000000"/>
                </a:solidFill>
                <a:prstDash val="solid"/>
              </a:ln>
            </c:spPr>
          </c:marker>
          <c:xVal>
            <c:numRef>
              <c:f>TradeSols!$J$93:$J$94</c:f>
              <c:numCache>
                <c:formatCode>General</c:formatCode>
                <c:ptCount val="2"/>
                <c:pt idx="0">
                  <c:v>0.0</c:v>
                </c:pt>
                <c:pt idx="1">
                  <c:v>1.0</c:v>
                </c:pt>
              </c:numCache>
            </c:numRef>
          </c:xVal>
          <c:yVal>
            <c:numRef>
              <c:f>TradeSols!$K$93:$K$94</c:f>
              <c:numCache>
                <c:formatCode>"$"#,##0.00</c:formatCode>
                <c:ptCount val="2"/>
                <c:pt idx="0">
                  <c:v>0.0</c:v>
                </c:pt>
                <c:pt idx="1">
                  <c:v>0.0</c:v>
                </c:pt>
              </c:numCache>
            </c:numRef>
          </c:yVal>
          <c:smooth val="0"/>
        </c:ser>
        <c:ser>
          <c:idx val="3"/>
          <c:order val="3"/>
          <c:tx>
            <c:strRef>
              <c:f>TradeSols!$I$95</c:f>
              <c:strCache>
                <c:ptCount val="1"/>
                <c:pt idx="0">
                  <c:v>0</c:v>
                </c:pt>
              </c:strCache>
            </c:strRef>
          </c:tx>
          <c:spPr>
            <a:ln w="38100">
              <a:solidFill>
                <a:srgbClr val="FF0000"/>
              </a:solidFill>
              <a:prstDash val="solid"/>
            </a:ln>
          </c:spPr>
          <c:marker>
            <c:symbol val="dot"/>
            <c:size val="2"/>
            <c:spPr>
              <a:solidFill>
                <a:srgbClr val="FF0000"/>
              </a:solidFill>
              <a:ln>
                <a:solidFill>
                  <a:srgbClr val="FF0000"/>
                </a:solidFill>
                <a:prstDash val="solid"/>
              </a:ln>
            </c:spPr>
          </c:marker>
          <c:xVal>
            <c:numRef>
              <c:f>TradeSols!$J$95:$J$96</c:f>
              <c:numCache>
                <c:formatCode>General</c:formatCode>
                <c:ptCount val="2"/>
                <c:pt idx="0">
                  <c:v>0.0</c:v>
                </c:pt>
                <c:pt idx="1">
                  <c:v>1.0</c:v>
                </c:pt>
              </c:numCache>
            </c:numRef>
          </c:xVal>
          <c:yVal>
            <c:numRef>
              <c:f>TradeSols!$K$95:$K$96</c:f>
              <c:numCache>
                <c:formatCode>"$"#,##0.00</c:formatCode>
                <c:ptCount val="2"/>
                <c:pt idx="0">
                  <c:v>0.0</c:v>
                </c:pt>
                <c:pt idx="1">
                  <c:v>0.0</c:v>
                </c:pt>
              </c:numCache>
            </c:numRef>
          </c:yVal>
          <c:smooth val="0"/>
        </c:ser>
        <c:ser>
          <c:idx val="5"/>
          <c:order val="4"/>
          <c:tx>
            <c:v>Price Line</c:v>
          </c:tx>
          <c:spPr>
            <a:ln w="12700">
              <a:solidFill>
                <a:srgbClr val="800000"/>
              </a:solidFill>
              <a:prstDash val="lgDashDotDot"/>
            </a:ln>
          </c:spPr>
          <c:marker>
            <c:symbol val="dot"/>
            <c:size val="5"/>
            <c:spPr>
              <a:solidFill>
                <a:srgbClr val="800000"/>
              </a:solidFill>
              <a:ln>
                <a:solidFill>
                  <a:srgbClr val="800000"/>
                </a:solidFill>
                <a:prstDash val="solid"/>
              </a:ln>
            </c:spPr>
          </c:marker>
          <c:xVal>
            <c:numRef>
              <c:f>TradeSols!$M$51:$M$52</c:f>
              <c:numCache>
                <c:formatCode>General</c:formatCode>
                <c:ptCount val="2"/>
                <c:pt idx="0">
                  <c:v>0.0</c:v>
                </c:pt>
                <c:pt idx="1">
                  <c:v>6.0</c:v>
                </c:pt>
              </c:numCache>
            </c:numRef>
          </c:xVal>
          <c:yVal>
            <c:numRef>
              <c:f>TradeSols!$K$97:$K$98</c:f>
              <c:numCache>
                <c:formatCode>"$"#,##0.00</c:formatCode>
                <c:ptCount val="2"/>
                <c:pt idx="0">
                  <c:v>0.0</c:v>
                </c:pt>
                <c:pt idx="1">
                  <c:v>0.0</c:v>
                </c:pt>
              </c:numCache>
            </c:numRef>
          </c:yVal>
          <c:smooth val="0"/>
        </c:ser>
        <c:dLbls>
          <c:showLegendKey val="0"/>
          <c:showVal val="0"/>
          <c:showCatName val="0"/>
          <c:showSerName val="0"/>
          <c:showPercent val="0"/>
          <c:showBubbleSize val="0"/>
        </c:dLbls>
        <c:axId val="2130491912"/>
        <c:axId val="2130500200"/>
      </c:scatterChart>
      <c:valAx>
        <c:axId val="2130491912"/>
        <c:scaling>
          <c:orientation val="minMax"/>
          <c:max val="5.0"/>
          <c:min val="0.0"/>
        </c:scaling>
        <c:delete val="0"/>
        <c:axPos val="b"/>
        <c:title>
          <c:tx>
            <c:rich>
              <a:bodyPr/>
              <a:lstStyle/>
              <a:p>
                <a:pPr>
                  <a:defRPr sz="1000" b="1" i="0" u="none" strike="noStrike" baseline="0">
                    <a:solidFill>
                      <a:srgbClr val="000000"/>
                    </a:solidFill>
                    <a:latin typeface="Arial"/>
                    <a:ea typeface="Arial"/>
                    <a:cs typeface="Arial"/>
                  </a:defRPr>
                </a:pPr>
                <a:r>
                  <a:rPr lang="en-US"/>
                  <a:t>Number</a:t>
                </a:r>
              </a:p>
            </c:rich>
          </c:tx>
          <c:layout>
            <c:manualLayout>
              <c:xMode val="edge"/>
              <c:yMode val="edge"/>
              <c:x val="0.415095189447371"/>
              <c:y val="0.8738337695170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2130500200"/>
        <c:crosses val="autoZero"/>
        <c:crossBetween val="midCat"/>
        <c:majorUnit val="1.0"/>
      </c:valAx>
      <c:valAx>
        <c:axId val="2130500200"/>
        <c:scaling>
          <c:orientation val="minMax"/>
          <c:max val="90.0"/>
          <c:min val="10.0"/>
        </c:scaling>
        <c:delete val="0"/>
        <c:axPos val="l"/>
        <c:title>
          <c:tx>
            <c:rich>
              <a:bodyPr/>
              <a:lstStyle/>
              <a:p>
                <a:pPr>
                  <a:defRPr sz="1000" b="1" i="0" u="none" strike="noStrike" baseline="0">
                    <a:solidFill>
                      <a:srgbClr val="000000"/>
                    </a:solidFill>
                    <a:latin typeface="Arial"/>
                    <a:ea typeface="Arial"/>
                    <a:cs typeface="Arial"/>
                  </a:defRPr>
                </a:pPr>
                <a:r>
                  <a:rPr lang="en-US"/>
                  <a:t>Pricee</a:t>
                </a:r>
              </a:p>
            </c:rich>
          </c:tx>
          <c:layout>
            <c:manualLayout>
              <c:xMode val="edge"/>
              <c:yMode val="edge"/>
              <c:x val="0.0335430456119088"/>
              <c:y val="0.359813905095249"/>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2130491912"/>
        <c:crosses val="autoZero"/>
        <c:crossBetween val="midCat"/>
      </c:valAx>
      <c:spPr>
        <a:solidFill>
          <a:srgbClr val="FFFFCC"/>
        </a:solidFill>
        <a:ln w="12700">
          <a:solidFill>
            <a:srgbClr val="808080"/>
          </a:solidFill>
          <a:prstDash val="solid"/>
        </a:ln>
      </c:spPr>
    </c:plotArea>
    <c:legend>
      <c:legendPos val="r"/>
      <c:layout>
        <c:manualLayout>
          <c:xMode val="edge"/>
          <c:yMode val="edge"/>
          <c:x val="0.698114636797851"/>
          <c:y val="0.238318300777373"/>
          <c:w val="0.285115887701224"/>
          <c:h val="0.495328232988265"/>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trlProps/ctrlProp1.xml><?xml version="1.0" encoding="utf-8"?>
<formControlPr xmlns="http://schemas.microsoft.com/office/spreadsheetml/2009/9/main" objectType="Drop" dropStyle="combo" dx="16" fmlaLink="ID!$G$6" fmlaRange="ID!$L$2:$L$14" noThreeD="1" val="0"/>
</file>

<file path=xl/ctrlProps/ctrlProp10.xml><?xml version="1.0" encoding="utf-8"?>
<formControlPr xmlns="http://schemas.microsoft.com/office/spreadsheetml/2009/9/main" objectType="Drop" dropStyle="combo" dx="16" fmlaLink="ConstructingDemandSols!$G$88" fmlaRange="ConstructingDemandSols!$I$87:$I$89" noThreeD="1" val="0"/>
</file>

<file path=xl/ctrlProps/ctrlProp100.xml><?xml version="1.0" encoding="utf-8"?>
<formControlPr xmlns="http://schemas.microsoft.com/office/spreadsheetml/2009/9/main" objectType="Drop" dropStyle="combo" dx="16" fmlaLink="TradeSols!$H$106" fmlaRange="TradeSols!$I$105:$I$108" noThreeD="1" val="0"/>
</file>

<file path=xl/ctrlProps/ctrlProp101.xml><?xml version="1.0" encoding="utf-8"?>
<formControlPr xmlns="http://schemas.microsoft.com/office/spreadsheetml/2009/9/main" objectType="Drop" dropStyle="combo" dx="16" fmlaLink="$G$49" fmlaRange="$L$49:$L$52" noThreeD="1" sel="3" val="0"/>
</file>

<file path=xl/ctrlProps/ctrlProp102.xml><?xml version="1.0" encoding="utf-8"?>
<formControlPr xmlns="http://schemas.microsoft.com/office/spreadsheetml/2009/9/main" objectType="Drop" dropStyle="combo" dx="16" fmlaLink="$G$56" fmlaRange="$L$53:$L$58" noThreeD="1" sel="5" val="0"/>
</file>

<file path=xl/ctrlProps/ctrlProp103.xml><?xml version="1.0" encoding="utf-8"?>
<formControlPr xmlns="http://schemas.microsoft.com/office/spreadsheetml/2009/9/main" objectType="Spin" dx="15" fmlaLink="O45" max="5" min="1" page="10"/>
</file>

<file path=xl/ctrlProps/ctrlProp104.xml><?xml version="1.0" encoding="utf-8"?>
<formControlPr xmlns="http://schemas.microsoft.com/office/spreadsheetml/2009/9/main" objectType="Spin" dx="15" fmlaLink="O90" max="5" min="1" page="10"/>
</file>

<file path=xl/ctrlProps/ctrlProp105.xml><?xml version="1.0" encoding="utf-8"?>
<formControlPr xmlns="http://schemas.microsoft.com/office/spreadsheetml/2009/9/main" objectType="Drop" dropStyle="combo" dx="16" fmlaLink="$H$98" fmlaRange="$I$96:$I$98" noThreeD="1" sel="2" val="0"/>
</file>

<file path=xl/ctrlProps/ctrlProp106.xml><?xml version="1.0" encoding="utf-8"?>
<formControlPr xmlns="http://schemas.microsoft.com/office/spreadsheetml/2009/9/main" objectType="Drop" dropStyle="combo" dx="16" fmlaLink="$H$101" fmlaRange="$I$96:$I$98" noThreeD="1" sel="3" val="0"/>
</file>

<file path=xl/ctrlProps/ctrlProp107.xml><?xml version="1.0" encoding="utf-8"?>
<formControlPr xmlns="http://schemas.microsoft.com/office/spreadsheetml/2009/9/main" objectType="Drop" dropStyle="combo" dx="16" fmlaLink="$H$107" fmlaRange="$I$105:$I$108" noThreeD="1" sel="2" val="0"/>
</file>

<file path=xl/ctrlProps/ctrlProp108.xml><?xml version="1.0" encoding="utf-8"?>
<formControlPr xmlns="http://schemas.microsoft.com/office/spreadsheetml/2009/9/main" objectType="Spin" dx="15" fmlaLink="ConDviSols!$O$1" max="4" min="1" page="10"/>
</file>

<file path=xl/ctrlProps/ctrlProp109.xml><?xml version="1.0" encoding="utf-8"?>
<formControlPr xmlns="http://schemas.microsoft.com/office/spreadsheetml/2009/9/main" objectType="Drop" dropStyle="combo" dx="16" fmlaLink="ScalSols!$J$36" fmlaRange="ScalSols!$L$34:$L$37" noThreeD="1" val="0"/>
</file>

<file path=xl/ctrlProps/ctrlProp11.xml><?xml version="1.0" encoding="utf-8"?>
<formControlPr xmlns="http://schemas.microsoft.com/office/spreadsheetml/2009/9/main" objectType="Spin" dx="25" fmlaLink="ConstructingDemandSols!$J$21" max="1" page="10" val="0"/>
</file>

<file path=xl/ctrlProps/ctrlProp110.xml><?xml version="1.0" encoding="utf-8"?>
<formControlPr xmlns="http://schemas.microsoft.com/office/spreadsheetml/2009/9/main" objectType="Drop" dropStyle="combo" dx="16" fmlaLink="ScalSols!$J$40" fmlaRange="ScalSols!$L$39:$L$42" noThreeD="1" val="0"/>
</file>

<file path=xl/ctrlProps/ctrlProp111.xml><?xml version="1.0" encoding="utf-8"?>
<formControlPr xmlns="http://schemas.microsoft.com/office/spreadsheetml/2009/9/main" objectType="Drop" dropStyle="combo" dx="16" fmlaLink="ScalSols!$J$44" fmlaRange="ScalSols!$L$43:$L$46" noThreeD="1" val="0"/>
</file>

<file path=xl/ctrlProps/ctrlProp112.xml><?xml version="1.0" encoding="utf-8"?>
<formControlPr xmlns="http://schemas.microsoft.com/office/spreadsheetml/2009/9/main" objectType="Drop" dropStyle="combo" dx="16" fmlaLink="ScalSols!$J$51" fmlaRange="ScalSols!$L$49:$L$52" noThreeD="1" val="0"/>
</file>

<file path=xl/ctrlProps/ctrlProp113.xml><?xml version="1.0" encoding="utf-8"?>
<formControlPr xmlns="http://schemas.microsoft.com/office/spreadsheetml/2009/9/main" objectType="Drop" dropStyle="combo" dx="16" fmlaLink="ScalSols!$J$59" fmlaRange="ScalSols!$L$49:$L$52" noThreeD="1" val="0"/>
</file>

<file path=xl/ctrlProps/ctrlProp114.xml><?xml version="1.0" encoding="utf-8"?>
<formControlPr xmlns="http://schemas.microsoft.com/office/spreadsheetml/2009/9/main" objectType="Drop" dropStyle="combo" dx="16" fmlaLink="ScalSols!$J$70" fmlaRange="ScalSols!$L$70:$L$73" noThreeD="1" val="0"/>
</file>

<file path=xl/ctrlProps/ctrlProp115.xml><?xml version="1.0" encoding="utf-8"?>
<formControlPr xmlns="http://schemas.microsoft.com/office/spreadsheetml/2009/9/main" objectType="Drop" dropStyle="combo" dx="16" fmlaLink="ScalSols!$J$75" fmlaRange="ScalSols!$L$74:$L$77" noThreeD="1" val="0"/>
</file>

<file path=xl/ctrlProps/ctrlProp116.xml><?xml version="1.0" encoding="utf-8"?>
<formControlPr xmlns="http://schemas.microsoft.com/office/spreadsheetml/2009/9/main" objectType="Drop" dropStyle="combo" dx="16" fmlaLink="ScalSols!$J$80" fmlaRange="ScalSols!$L$78:$L$81" noThreeD="1" val="0"/>
</file>

<file path=xl/ctrlProps/ctrlProp117.xml><?xml version="1.0" encoding="utf-8"?>
<formControlPr xmlns="http://schemas.microsoft.com/office/spreadsheetml/2009/9/main" objectType="Spin" dx="15" fmlaLink="ConDviSols!$O$1" max="4" min="1" page="10"/>
</file>

<file path=xl/ctrlProps/ctrlProp118.xml><?xml version="1.0" encoding="utf-8"?>
<formControlPr xmlns="http://schemas.microsoft.com/office/spreadsheetml/2009/9/main" objectType="Drop" dropStyle="combo" dx="16" fmlaLink="$J$37" fmlaRange="$L$34:$L$37" noThreeD="1" sel="4" val="0"/>
</file>

<file path=xl/ctrlProps/ctrlProp119.xml><?xml version="1.0" encoding="utf-8"?>
<formControlPr xmlns="http://schemas.microsoft.com/office/spreadsheetml/2009/9/main" objectType="Drop" dropStyle="combo" dx="16" fmlaLink="$J$41" fmlaRange="$L$39:$L$42" noThreeD="1" sel="3" val="0"/>
</file>

<file path=xl/ctrlProps/ctrlProp12.xml><?xml version="1.0" encoding="utf-8"?>
<formControlPr xmlns="http://schemas.microsoft.com/office/spreadsheetml/2009/9/main" objectType="Spin" dx="25" fmlaLink="ConstructingDemandSols!$J$22" max="1" page="10" val="0"/>
</file>

<file path=xl/ctrlProps/ctrlProp120.xml><?xml version="1.0" encoding="utf-8"?>
<formControlPr xmlns="http://schemas.microsoft.com/office/spreadsheetml/2009/9/main" objectType="Drop" dropStyle="combo" dx="16" fmlaLink="$J$45" fmlaRange="$L$43:$L$46" noThreeD="1" sel="3" val="0"/>
</file>

<file path=xl/ctrlProps/ctrlProp121.xml><?xml version="1.0" encoding="utf-8"?>
<formControlPr xmlns="http://schemas.microsoft.com/office/spreadsheetml/2009/9/main" objectType="Drop" dropStyle="combo" dx="16" fmlaLink="$J$52" fmlaRange="$L$49:$L$52" noThreeD="1" sel="4" val="0"/>
</file>

<file path=xl/ctrlProps/ctrlProp122.xml><?xml version="1.0" encoding="utf-8"?>
<formControlPr xmlns="http://schemas.microsoft.com/office/spreadsheetml/2009/9/main" objectType="Drop" dropStyle="combo" dx="16" fmlaLink="$J$60" fmlaRange="$L$49:$L$52" noThreeD="1" sel="2" val="0"/>
</file>

<file path=xl/ctrlProps/ctrlProp123.xml><?xml version="1.0" encoding="utf-8"?>
<formControlPr xmlns="http://schemas.microsoft.com/office/spreadsheetml/2009/9/main" objectType="Drop" dropStyle="combo" dx="16" fmlaLink="$J$71" fmlaRange="$L$70:$L$73" noThreeD="1" sel="4" val="0"/>
</file>

<file path=xl/ctrlProps/ctrlProp124.xml><?xml version="1.0" encoding="utf-8"?>
<formControlPr xmlns="http://schemas.microsoft.com/office/spreadsheetml/2009/9/main" objectType="Drop" dropStyle="combo" dx="16" fmlaLink="$J$76" fmlaRange="$L$74:$L$77" noThreeD="1" sel="4" val="0"/>
</file>

<file path=xl/ctrlProps/ctrlProp125.xml><?xml version="1.0" encoding="utf-8"?>
<formControlPr xmlns="http://schemas.microsoft.com/office/spreadsheetml/2009/9/main" objectType="Drop" dropStyle="combo" dx="16" fmlaLink="$J$81" fmlaRange="$L$78:$L$81" noThreeD="1" sel="2" val="0"/>
</file>

<file path=xl/ctrlProps/ctrlProp126.xml><?xml version="1.0" encoding="utf-8"?>
<formControlPr xmlns="http://schemas.microsoft.com/office/spreadsheetml/2009/9/main" objectType="Spin" dx="15" fmlaLink="$B$26" max="10" page="10" val="0"/>
</file>

<file path=xl/ctrlProps/ctrlProp127.xml><?xml version="1.0" encoding="utf-8"?>
<formControlPr xmlns="http://schemas.microsoft.com/office/spreadsheetml/2009/9/main" objectType="Drop" dropStyle="combo" dx="16" fmlaLink="MMSols!$F$32" fmlaRange="MMSols!$J$31:$J$33" noThreeD="1" val="0"/>
</file>

<file path=xl/ctrlProps/ctrlProp128.xml><?xml version="1.0" encoding="utf-8"?>
<formControlPr xmlns="http://schemas.microsoft.com/office/spreadsheetml/2009/9/main" objectType="Drop" dropStyle="combo" dx="16" fmlaLink="MMSols!$F$37" fmlaRange="MMSols!$J$36:$J$38" noThreeD="1" val="0"/>
</file>

<file path=xl/ctrlProps/ctrlProp129.xml><?xml version="1.0" encoding="utf-8"?>
<formControlPr xmlns="http://schemas.microsoft.com/office/spreadsheetml/2009/9/main" objectType="Drop" dropStyle="combo" dx="16" fmlaLink="MMSols!$F$42" fmlaRange="MMSols!$J$42:$J$45" noThreeD="1" val="0"/>
</file>

<file path=xl/ctrlProps/ctrlProp13.xml><?xml version="1.0" encoding="utf-8"?>
<formControlPr xmlns="http://schemas.microsoft.com/office/spreadsheetml/2009/9/main" objectType="Spin" dx="25" fmlaLink="ConstructingDemandSols!$J$23" max="1" page="10" val="0"/>
</file>

<file path=xl/ctrlProps/ctrlProp130.xml><?xml version="1.0" encoding="utf-8"?>
<formControlPr xmlns="http://schemas.microsoft.com/office/spreadsheetml/2009/9/main" objectType="Drop" dropStyle="combo" dx="16" fmlaLink="MMSols!$F$47" fmlaRange="MMSols!$J$46:$J$50" noThreeD="1" val="0"/>
</file>

<file path=xl/ctrlProps/ctrlProp131.xml><?xml version="1.0" encoding="utf-8"?>
<formControlPr xmlns="http://schemas.microsoft.com/office/spreadsheetml/2009/9/main" objectType="Spin" dx="15" fmlaLink="$A$13" max="156" page="10" val="30"/>
</file>

<file path=xl/ctrlProps/ctrlProp132.xml><?xml version="1.0" encoding="utf-8"?>
<formControlPr xmlns="http://schemas.microsoft.com/office/spreadsheetml/2009/9/main" objectType="Spin" dx="15" fmlaLink="$A$14" max="156" page="10" val="30"/>
</file>

<file path=xl/ctrlProps/ctrlProp133.xml><?xml version="1.0" encoding="utf-8"?>
<formControlPr xmlns="http://schemas.microsoft.com/office/spreadsheetml/2009/9/main" objectType="Spin" dx="15" fmlaLink="$A$15" max="156" page="10" val="30"/>
</file>

<file path=xl/ctrlProps/ctrlProp134.xml><?xml version="1.0" encoding="utf-8"?>
<formControlPr xmlns="http://schemas.microsoft.com/office/spreadsheetml/2009/9/main" objectType="Spin" dx="15" fmlaLink="$A$16" max="156" page="10" val="30"/>
</file>

<file path=xl/ctrlProps/ctrlProp135.xml><?xml version="1.0" encoding="utf-8"?>
<formControlPr xmlns="http://schemas.microsoft.com/office/spreadsheetml/2009/9/main" objectType="Spin" dx="15" fmlaLink="$A$17" max="156" page="10" val="30"/>
</file>

<file path=xl/ctrlProps/ctrlProp136.xml><?xml version="1.0" encoding="utf-8"?>
<formControlPr xmlns="http://schemas.microsoft.com/office/spreadsheetml/2009/9/main" objectType="Spin" dx="15" fmlaLink="$A$18" max="156" page="10" val="30"/>
</file>

<file path=xl/ctrlProps/ctrlProp137.xml><?xml version="1.0" encoding="utf-8"?>
<formControlPr xmlns="http://schemas.microsoft.com/office/spreadsheetml/2009/9/main" objectType="Spin" dx="15" fmlaLink="$A$19" max="156" page="10" val="30"/>
</file>

<file path=xl/ctrlProps/ctrlProp138.xml><?xml version="1.0" encoding="utf-8"?>
<formControlPr xmlns="http://schemas.microsoft.com/office/spreadsheetml/2009/9/main" objectType="Spin" dx="15" fmlaLink="$A$20" max="156" page="10" val="30"/>
</file>

<file path=xl/ctrlProps/ctrlProp139.xml><?xml version="1.0" encoding="utf-8"?>
<formControlPr xmlns="http://schemas.microsoft.com/office/spreadsheetml/2009/9/main" objectType="Spin" dx="15" fmlaLink="$A$21" max="156" page="10" val="30"/>
</file>

<file path=xl/ctrlProps/ctrlProp14.xml><?xml version="1.0" encoding="utf-8"?>
<formControlPr xmlns="http://schemas.microsoft.com/office/spreadsheetml/2009/9/main" objectType="Spin" dx="25" fmlaLink="ConstructingDemandSols!$J$24" max="1" page="10" val="0"/>
</file>

<file path=xl/ctrlProps/ctrlProp140.xml><?xml version="1.0" encoding="utf-8"?>
<formControlPr xmlns="http://schemas.microsoft.com/office/spreadsheetml/2009/9/main" objectType="Spin" dx="15" fmlaLink="$A$22" max="156" page="10" val="30"/>
</file>

<file path=xl/ctrlProps/ctrlProp141.xml><?xml version="1.0" encoding="utf-8"?>
<formControlPr xmlns="http://schemas.microsoft.com/office/spreadsheetml/2009/9/main" objectType="Spin" dx="15" fmlaLink="$A$14" max="156" page="10" val="30"/>
</file>

<file path=xl/ctrlProps/ctrlProp142.xml><?xml version="1.0" encoding="utf-8"?>
<formControlPr xmlns="http://schemas.microsoft.com/office/spreadsheetml/2009/9/main" objectType="Spin" dx="15" fmlaLink="$A$15" max="156" page="10" val="30"/>
</file>

<file path=xl/ctrlProps/ctrlProp143.xml><?xml version="1.0" encoding="utf-8"?>
<formControlPr xmlns="http://schemas.microsoft.com/office/spreadsheetml/2009/9/main" objectType="Spin" dx="15" fmlaLink="$A$16" max="156" page="10" val="30"/>
</file>

<file path=xl/ctrlProps/ctrlProp144.xml><?xml version="1.0" encoding="utf-8"?>
<formControlPr xmlns="http://schemas.microsoft.com/office/spreadsheetml/2009/9/main" objectType="Spin" dx="15" fmlaLink="$A$17" max="156" page="10" val="30"/>
</file>

<file path=xl/ctrlProps/ctrlProp145.xml><?xml version="1.0" encoding="utf-8"?>
<formControlPr xmlns="http://schemas.microsoft.com/office/spreadsheetml/2009/9/main" objectType="Spin" dx="15" fmlaLink="$A$18" max="156" page="10" val="30"/>
</file>

<file path=xl/ctrlProps/ctrlProp146.xml><?xml version="1.0" encoding="utf-8"?>
<formControlPr xmlns="http://schemas.microsoft.com/office/spreadsheetml/2009/9/main" objectType="Spin" dx="15" fmlaLink="$A$19" max="156" page="10" val="30"/>
</file>

<file path=xl/ctrlProps/ctrlProp147.xml><?xml version="1.0" encoding="utf-8"?>
<formControlPr xmlns="http://schemas.microsoft.com/office/spreadsheetml/2009/9/main" objectType="Spin" dx="15" fmlaLink="$A$20" max="156" page="10" val="30"/>
</file>

<file path=xl/ctrlProps/ctrlProp148.xml><?xml version="1.0" encoding="utf-8"?>
<formControlPr xmlns="http://schemas.microsoft.com/office/spreadsheetml/2009/9/main" objectType="Spin" dx="15" fmlaLink="$A$21" max="156" page="10" val="30"/>
</file>

<file path=xl/ctrlProps/ctrlProp149.xml><?xml version="1.0" encoding="utf-8"?>
<formControlPr xmlns="http://schemas.microsoft.com/office/spreadsheetml/2009/9/main" objectType="Spin" dx="15" fmlaLink="$A$22" max="156" page="10" val="30"/>
</file>

<file path=xl/ctrlProps/ctrlProp15.xml><?xml version="1.0" encoding="utf-8"?>
<formControlPr xmlns="http://schemas.microsoft.com/office/spreadsheetml/2009/9/main" objectType="Spin" dx="25" fmlaLink="ConstructingDemandSols!$J$25" max="1" page="10" val="0"/>
</file>

<file path=xl/ctrlProps/ctrlProp150.xml><?xml version="1.0" encoding="utf-8"?>
<formControlPr xmlns="http://schemas.microsoft.com/office/spreadsheetml/2009/9/main" objectType="Drop" dropStyle="combo" dx="16" fmlaLink="$F$33" fmlaRange="$J$31:$J$33" noThreeD="1" sel="3" val="0"/>
</file>

<file path=xl/ctrlProps/ctrlProp151.xml><?xml version="1.0" encoding="utf-8"?>
<formControlPr xmlns="http://schemas.microsoft.com/office/spreadsheetml/2009/9/main" objectType="Drop" dropStyle="combo" dx="16" fmlaLink="$F$38" fmlaRange="$J$36:$J$38" noThreeD="1" sel="3" val="0"/>
</file>

<file path=xl/ctrlProps/ctrlProp152.xml><?xml version="1.0" encoding="utf-8"?>
<formControlPr xmlns="http://schemas.microsoft.com/office/spreadsheetml/2009/9/main" objectType="Drop" dropStyle="combo" dx="16" fmlaLink="$F$43" fmlaRange="$J$42:$J$45" noThreeD="1" sel="3" val="0"/>
</file>

<file path=xl/ctrlProps/ctrlProp153.xml><?xml version="1.0" encoding="utf-8"?>
<formControlPr xmlns="http://schemas.microsoft.com/office/spreadsheetml/2009/9/main" objectType="Drop" dropStyle="combo" dx="16" fmlaLink="$F$48" fmlaRange="$J$46:$J$50" noThreeD="1" sel="5" val="0"/>
</file>

<file path=xl/ctrlProps/ctrlProp154.xml><?xml version="1.0" encoding="utf-8"?>
<formControlPr xmlns="http://schemas.microsoft.com/office/spreadsheetml/2009/9/main" objectType="Drop" dropStyle="combo" dx="16" fmlaLink="$H$27" fmlaRange="$K$26:$K$32" noThreeD="1" sel="0" val="0"/>
</file>

<file path=xl/ctrlProps/ctrlProp155.xml><?xml version="1.0" encoding="utf-8"?>
<formControlPr xmlns="http://schemas.microsoft.com/office/spreadsheetml/2009/9/main" objectType="Drop" dropStyle="combo" dx="16" fmlaLink="$H$43" fmlaRange="$K$26:$K$32" noThreeD="1" sel="0" val="0"/>
</file>

<file path=xl/ctrlProps/ctrlProp156.xml><?xml version="1.0" encoding="utf-8"?>
<formControlPr xmlns="http://schemas.microsoft.com/office/spreadsheetml/2009/9/main" objectType="Drop" dropStyle="combo" dx="16" fmlaLink="$H$50" fmlaRange="$I$47:$I$50" noThreeD="1" sel="3" val="0"/>
</file>

<file path=xl/ctrlProps/ctrlProp157.xml><?xml version="1.0" encoding="utf-8"?>
<formControlPr xmlns="http://schemas.microsoft.com/office/spreadsheetml/2009/9/main" objectType="Drop" dropStyle="combo" dx="16" fmlaLink="$G$75" fmlaRange="$K$26:$K$32" noThreeD="1" sel="4" val="0"/>
</file>

<file path=xl/ctrlProps/ctrlProp158.xml><?xml version="1.0" encoding="utf-8"?>
<formControlPr xmlns="http://schemas.microsoft.com/office/spreadsheetml/2009/9/main" objectType="Drop" dropStyle="combo" dx="16" fmlaLink="$G$79" fmlaRange="$K$26:$K$32" noThreeD="1" sel="7" val="0"/>
</file>

<file path=xl/ctrlProps/ctrlProp159.xml><?xml version="1.0" encoding="utf-8"?>
<formControlPr xmlns="http://schemas.microsoft.com/office/spreadsheetml/2009/9/main" objectType="Drop" dropStyle="combo" dx="16" fmlaLink="$G$83" fmlaRange="$K$26:$K$32" noThreeD="1" sel="2" val="0"/>
</file>

<file path=xl/ctrlProps/ctrlProp16.xml><?xml version="1.0" encoding="utf-8"?>
<formControlPr xmlns="http://schemas.microsoft.com/office/spreadsheetml/2009/9/main" objectType="Spin" dx="25" fmlaLink="ConstructingDemandSols!$G$26" max="1" page="10" val="0"/>
</file>

<file path=xl/ctrlProps/ctrlProp160.xml><?xml version="1.0" encoding="utf-8"?>
<formControlPr xmlns="http://schemas.microsoft.com/office/spreadsheetml/2009/9/main" objectType="Drop" dropStyle="combo" dx="16" fmlaLink="$G$87" fmlaRange="$I$87:$I$89" noThreeD="1" sel="3" val="0"/>
</file>

<file path=xl/ctrlProps/ctrlProp17.xml><?xml version="1.0" encoding="utf-8"?>
<formControlPr xmlns="http://schemas.microsoft.com/office/spreadsheetml/2009/9/main" objectType="Spin" dx="25" fmlaLink="ConstructingDemandSols!$J$37" max="1" page="10" val="0"/>
</file>

<file path=xl/ctrlProps/ctrlProp18.xml><?xml version="1.0" encoding="utf-8"?>
<formControlPr xmlns="http://schemas.microsoft.com/office/spreadsheetml/2009/9/main" objectType="Spin" dx="25" fmlaLink="ConstructingDemandSols!$J$38" max="1" page="10" val="0"/>
</file>

<file path=xl/ctrlProps/ctrlProp19.xml><?xml version="1.0" encoding="utf-8"?>
<formControlPr xmlns="http://schemas.microsoft.com/office/spreadsheetml/2009/9/main" objectType="Spin" dx="25" fmlaLink="ConstructingDemandSols!$J$39" max="1" page="10" val="0"/>
</file>

<file path=xl/ctrlProps/ctrlProp2.xml><?xml version="1.0" encoding="utf-8"?>
<formControlPr xmlns="http://schemas.microsoft.com/office/spreadsheetml/2009/9/main" objectType="Drop" dropStyle="combo" dx="16" fmlaLink="ID!$H$6" fmlaRange="ID!$M$2:$M$33" noThreeD="1" val="0"/>
</file>

<file path=xl/ctrlProps/ctrlProp20.xml><?xml version="1.0" encoding="utf-8"?>
<formControlPr xmlns="http://schemas.microsoft.com/office/spreadsheetml/2009/9/main" objectType="Spin" dx="25" fmlaLink="ConstructingDemandSols!$J$40" max="1" page="10" val="0"/>
</file>

<file path=xl/ctrlProps/ctrlProp21.xml><?xml version="1.0" encoding="utf-8"?>
<formControlPr xmlns="http://schemas.microsoft.com/office/spreadsheetml/2009/9/main" objectType="Spin" dx="25" fmlaLink="ConstructingDemandSols!$J$41" max="1" page="10" val="0"/>
</file>

<file path=xl/ctrlProps/ctrlProp22.xml><?xml version="1.0" encoding="utf-8"?>
<formControlPr xmlns="http://schemas.microsoft.com/office/spreadsheetml/2009/9/main" objectType="Spin" dx="25" fmlaLink="ConstructingDemandSols!$G$42" max="1" page="10" val="0"/>
</file>

<file path=xl/ctrlProps/ctrlProp23.xml><?xml version="1.0" encoding="utf-8"?>
<formControlPr xmlns="http://schemas.microsoft.com/office/spreadsheetml/2009/9/main" objectType="Spin" dx="25" fmlaLink="ConstructingDemandSols!$J$58" max="100" page="10" val="19"/>
</file>

<file path=xl/ctrlProps/ctrlProp24.xml><?xml version="1.0" encoding="utf-8"?>
<formControlPr xmlns="http://schemas.microsoft.com/office/spreadsheetml/2009/9/main" objectType="Drop" dropStyle="combo" dx="16" fmlaLink="ConstructingDemandSols!$G$80" fmlaRange="ConstructingDemandSols!$K$26:$K$32" noThreeD="1" val="0"/>
</file>

<file path=xl/ctrlProps/ctrlProp25.xml><?xml version="1.0" encoding="utf-8"?>
<formControlPr xmlns="http://schemas.microsoft.com/office/spreadsheetml/2009/9/main" objectType="Drop" dropStyle="combo" dx="16" fmlaLink="$H$27" fmlaRange="$K$26:$K$32" noThreeD="1" val="0"/>
</file>

<file path=xl/ctrlProps/ctrlProp26.xml><?xml version="1.0" encoding="utf-8"?>
<formControlPr xmlns="http://schemas.microsoft.com/office/spreadsheetml/2009/9/main" objectType="Drop" dropStyle="combo" dx="16" fmlaLink="$H$43" fmlaRange="$K$26:$K$32" noThreeD="1" val="0"/>
</file>

<file path=xl/ctrlProps/ctrlProp27.xml><?xml version="1.0" encoding="utf-8"?>
<formControlPr xmlns="http://schemas.microsoft.com/office/spreadsheetml/2009/9/main" objectType="Drop" dropStyle="combo" dx="16" fmlaLink="$H$50" fmlaRange="$I$47:$I$50" noThreeD="1" val="0"/>
</file>

<file path=xl/ctrlProps/ctrlProp28.xml><?xml version="1.0" encoding="utf-8"?>
<formControlPr xmlns="http://schemas.microsoft.com/office/spreadsheetml/2009/9/main" objectType="Drop" dropStyle="combo" dx="16" fmlaLink="$G$75" fmlaRange="$K$26:$K$32" noThreeD="1" sel="4" val="0"/>
</file>

<file path=xl/ctrlProps/ctrlProp29.xml><?xml version="1.0" encoding="utf-8"?>
<formControlPr xmlns="http://schemas.microsoft.com/office/spreadsheetml/2009/9/main" objectType="Drop" dropStyle="combo" dx="16" fmlaLink="$G$79" fmlaRange="$K$26:$K$32" noThreeD="1" sel="2" val="0"/>
</file>

<file path=xl/ctrlProps/ctrlProp3.xml><?xml version="1.0" encoding="utf-8"?>
<formControlPr xmlns="http://schemas.microsoft.com/office/spreadsheetml/2009/9/main" objectType="Drop" dropStyle="combo" dx="16" fmlaLink="ID!$I$6" fmlaRange="ID!$N$2:$N$53" noThreeD="1" val="0"/>
</file>

<file path=xl/ctrlProps/ctrlProp30.xml><?xml version="1.0" encoding="utf-8"?>
<formControlPr xmlns="http://schemas.microsoft.com/office/spreadsheetml/2009/9/main" objectType="Drop" dropStyle="combo" dx="16" fmlaLink="$G$83" fmlaRange="$K$26:$K$32" noThreeD="1" sel="7" val="0"/>
</file>

<file path=xl/ctrlProps/ctrlProp31.xml><?xml version="1.0" encoding="utf-8"?>
<formControlPr xmlns="http://schemas.microsoft.com/office/spreadsheetml/2009/9/main" objectType="Drop" dropStyle="combo" dx="16" fmlaLink="$G$87" fmlaRange="$I$87:$I$89" noThreeD="1" sel="2" val="0"/>
</file>

<file path=xl/ctrlProps/ctrlProp32.xml><?xml version="1.0" encoding="utf-8"?>
<formControlPr xmlns="http://schemas.microsoft.com/office/spreadsheetml/2009/9/main" objectType="Drop" dropStyle="combo" dx="25" fmlaLink="$O$19" fmlaRange="$O$14:$O$17" noThreeD="1" sel="3" val="0"/>
</file>

<file path=xl/ctrlProps/ctrlProp33.xml><?xml version="1.0" encoding="utf-8"?>
<formControlPr xmlns="http://schemas.microsoft.com/office/spreadsheetml/2009/9/main" objectType="Spin" dx="25" fmlaLink="$D$13" max="1" page="10" val="0"/>
</file>

<file path=xl/ctrlProps/ctrlProp34.xml><?xml version="1.0" encoding="utf-8"?>
<formControlPr xmlns="http://schemas.microsoft.com/office/spreadsheetml/2009/9/main" objectType="Spin" dx="25" fmlaLink="ConstructingDemandSols!$J$21" max="1" page="10" val="0"/>
</file>

<file path=xl/ctrlProps/ctrlProp35.xml><?xml version="1.0" encoding="utf-8"?>
<formControlPr xmlns="http://schemas.microsoft.com/office/spreadsheetml/2009/9/main" objectType="Spin" dx="25" fmlaLink="ConstructingDemandSols!$J$22" max="1" page="10" val="0"/>
</file>

<file path=xl/ctrlProps/ctrlProp36.xml><?xml version="1.0" encoding="utf-8"?>
<formControlPr xmlns="http://schemas.microsoft.com/office/spreadsheetml/2009/9/main" objectType="Spin" dx="25" fmlaLink="ConstructingDemandSols!$J$23" max="1" page="10" val="0"/>
</file>

<file path=xl/ctrlProps/ctrlProp37.xml><?xml version="1.0" encoding="utf-8"?>
<formControlPr xmlns="http://schemas.microsoft.com/office/spreadsheetml/2009/9/main" objectType="Spin" dx="25" fmlaLink="ConstructingDemandSols!$J$24" max="1" page="10" val="0"/>
</file>

<file path=xl/ctrlProps/ctrlProp38.xml><?xml version="1.0" encoding="utf-8"?>
<formControlPr xmlns="http://schemas.microsoft.com/office/spreadsheetml/2009/9/main" objectType="Spin" dx="25" fmlaLink="ConstructingDemandSols!$J$25" max="1" page="10" val="0"/>
</file>

<file path=xl/ctrlProps/ctrlProp39.xml><?xml version="1.0" encoding="utf-8"?>
<formControlPr xmlns="http://schemas.microsoft.com/office/spreadsheetml/2009/9/main" objectType="Spin" dx="25" fmlaLink="ConstructingDemandSols!$G$26" max="1" page="10" val="0"/>
</file>

<file path=xl/ctrlProps/ctrlProp4.xml><?xml version="1.0" encoding="utf-8"?>
<formControlPr xmlns="http://schemas.microsoft.com/office/spreadsheetml/2009/9/main" objectType="Drop" dropStyle="combo" dx="16" fmlaLink="ConstructingDemandSols!$H$27" fmlaRange="ConstructingDemandSols!$K$26:$K$32" noThreeD="1" val="0"/>
</file>

<file path=xl/ctrlProps/ctrlProp40.xml><?xml version="1.0" encoding="utf-8"?>
<formControlPr xmlns="http://schemas.microsoft.com/office/spreadsheetml/2009/9/main" objectType="Drop" dropStyle="combo" dx="25" fmlaLink="ConstructingDemandSols!$H$27" fmlaRange="ConstructingDemandSols!$K$26:$K$32" noThreeD="1" val="0"/>
</file>

<file path=xl/ctrlProps/ctrlProp41.xml><?xml version="1.0" encoding="utf-8"?>
<formControlPr xmlns="http://schemas.microsoft.com/office/spreadsheetml/2009/9/main" objectType="Spin" dx="25" fmlaLink="ConstructingDemandSols!$J$37" max="1" page="10" val="0"/>
</file>

<file path=xl/ctrlProps/ctrlProp42.xml><?xml version="1.0" encoding="utf-8"?>
<formControlPr xmlns="http://schemas.microsoft.com/office/spreadsheetml/2009/9/main" objectType="Spin" dx="25" fmlaLink="ConstructingDemandSols!$J$38" max="1" page="10" val="0"/>
</file>

<file path=xl/ctrlProps/ctrlProp43.xml><?xml version="1.0" encoding="utf-8"?>
<formControlPr xmlns="http://schemas.microsoft.com/office/spreadsheetml/2009/9/main" objectType="Spin" dx="25" fmlaLink="ConstructingDemandSols!$J$39" max="1" page="10" val="0"/>
</file>

<file path=xl/ctrlProps/ctrlProp44.xml><?xml version="1.0" encoding="utf-8"?>
<formControlPr xmlns="http://schemas.microsoft.com/office/spreadsheetml/2009/9/main" objectType="Spin" dx="25" fmlaLink="ConstructingDemandSols!$J$40" max="1" page="10" val="0"/>
</file>

<file path=xl/ctrlProps/ctrlProp45.xml><?xml version="1.0" encoding="utf-8"?>
<formControlPr xmlns="http://schemas.microsoft.com/office/spreadsheetml/2009/9/main" objectType="Spin" dx="25" fmlaLink="ConstructingDemandSols!$J$41" max="1" page="10" val="0"/>
</file>

<file path=xl/ctrlProps/ctrlProp46.xml><?xml version="1.0" encoding="utf-8"?>
<formControlPr xmlns="http://schemas.microsoft.com/office/spreadsheetml/2009/9/main" objectType="Spin" dx="25" fmlaLink="ConstructingDemandSols!$G$42" max="1" page="10" val="0"/>
</file>

<file path=xl/ctrlProps/ctrlProp47.xml><?xml version="1.0" encoding="utf-8"?>
<formControlPr xmlns="http://schemas.microsoft.com/office/spreadsheetml/2009/9/main" objectType="Drop" dropStyle="combo" dx="25" fmlaLink="ConstructingDemandSols!$H$43" fmlaRange="ConstructingDemandSols!$K$26:$K$32" noThreeD="1" val="0"/>
</file>

<file path=xl/ctrlProps/ctrlProp48.xml><?xml version="1.0" encoding="utf-8"?>
<formControlPr xmlns="http://schemas.microsoft.com/office/spreadsheetml/2009/9/main" objectType="Drop" dropStyle="combo" dx="25" fmlaLink="ConstructingDemandSols!$H$50" fmlaRange="ConstructingDemandSols!$I$47:$I$50" noThreeD="1" val="0"/>
</file>

<file path=xl/ctrlProps/ctrlProp49.xml><?xml version="1.0" encoding="utf-8"?>
<formControlPr xmlns="http://schemas.microsoft.com/office/spreadsheetml/2009/9/main" objectType="Spin" dx="25" fmlaLink="ConstructingDemandSols!$J$58" max="100" page="10" val="19"/>
</file>

<file path=xl/ctrlProps/ctrlProp5.xml><?xml version="1.0" encoding="utf-8"?>
<formControlPr xmlns="http://schemas.microsoft.com/office/spreadsheetml/2009/9/main" objectType="Drop" dropStyle="combo" dx="16" fmlaLink="ConstructingDemandSols!$H$43" fmlaRange="ConstructingDemandSols!$K$26:$K$32" noThreeD="1" val="0"/>
</file>

<file path=xl/ctrlProps/ctrlProp50.xml><?xml version="1.0" encoding="utf-8"?>
<formControlPr xmlns="http://schemas.microsoft.com/office/spreadsheetml/2009/9/main" objectType="Drop" dropStyle="combo" dx="25" fmlaLink="ConstructingDemandSols!$G$76" fmlaRange="ConstructingDemandSols!$K$26:$K$32" noThreeD="1" val="0"/>
</file>

<file path=xl/ctrlProps/ctrlProp51.xml><?xml version="1.0" encoding="utf-8"?>
<formControlPr xmlns="http://schemas.microsoft.com/office/spreadsheetml/2009/9/main" objectType="Drop" dropStyle="combo" dx="25" fmlaLink="ConstructingDemandSols!$G$80" fmlaRange="ConstructingDemandSols!$K$26:$K$32" noThreeD="1" val="0"/>
</file>

<file path=xl/ctrlProps/ctrlProp52.xml><?xml version="1.0" encoding="utf-8"?>
<formControlPr xmlns="http://schemas.microsoft.com/office/spreadsheetml/2009/9/main" objectType="Drop" dropStyle="combo" dx="25" fmlaLink="ConstructingDemandSols!$G$84" fmlaRange="ConstructingDemandSols!$K$26:$K$32" noThreeD="1" val="0"/>
</file>

<file path=xl/ctrlProps/ctrlProp53.xml><?xml version="1.0" encoding="utf-8"?>
<formControlPr xmlns="http://schemas.microsoft.com/office/spreadsheetml/2009/9/main" objectType="Drop" dropStyle="combo" dx="25" fmlaLink="ConstructingDemandSols!$G$88" fmlaRange="ConstructingDemandSols!$I$87:$I$89" noThreeD="1" val="0"/>
</file>

<file path=xl/ctrlProps/ctrlProp54.xml><?xml version="1.0" encoding="utf-8"?>
<formControlPr xmlns="http://schemas.microsoft.com/office/spreadsheetml/2009/9/main" objectType="Spin" dx="25" fmlaLink="CSSols!$J$21" max="1" page="10" val="0"/>
</file>

<file path=xl/ctrlProps/ctrlProp55.xml><?xml version="1.0" encoding="utf-8"?>
<formControlPr xmlns="http://schemas.microsoft.com/office/spreadsheetml/2009/9/main" objectType="Spin" dx="25" fmlaLink="CSSols!$J$22" max="1" page="10" val="0"/>
</file>

<file path=xl/ctrlProps/ctrlProp56.xml><?xml version="1.0" encoding="utf-8"?>
<formControlPr xmlns="http://schemas.microsoft.com/office/spreadsheetml/2009/9/main" objectType="Spin" dx="25" fmlaLink="CSSols!$J$23" max="1" page="10" val="0"/>
</file>

<file path=xl/ctrlProps/ctrlProp57.xml><?xml version="1.0" encoding="utf-8"?>
<formControlPr xmlns="http://schemas.microsoft.com/office/spreadsheetml/2009/9/main" objectType="Spin" dx="25" fmlaLink="CSSols!$J$24" max="1" page="10" val="0"/>
</file>

<file path=xl/ctrlProps/ctrlProp58.xml><?xml version="1.0" encoding="utf-8"?>
<formControlPr xmlns="http://schemas.microsoft.com/office/spreadsheetml/2009/9/main" objectType="Spin" dx="25" fmlaLink="CSSols!$J$25" max="1" page="10" val="0"/>
</file>

<file path=xl/ctrlProps/ctrlProp59.xml><?xml version="1.0" encoding="utf-8"?>
<formControlPr xmlns="http://schemas.microsoft.com/office/spreadsheetml/2009/9/main" objectType="Spin" dx="25" fmlaLink="CSSols!$H$27" max="1" page="10" val="0"/>
</file>

<file path=xl/ctrlProps/ctrlProp6.xml><?xml version="1.0" encoding="utf-8"?>
<formControlPr xmlns="http://schemas.microsoft.com/office/spreadsheetml/2009/9/main" objectType="Drop" dropStyle="combo" dx="16" fmlaLink="ConstructingDemandSols!$H$50" fmlaRange="ConstructingDemandSols!$I$47:$I$50" noThreeD="1" val="0"/>
</file>

<file path=xl/ctrlProps/ctrlProp60.xml><?xml version="1.0" encoding="utf-8"?>
<formControlPr xmlns="http://schemas.microsoft.com/office/spreadsheetml/2009/9/main" objectType="Drop" dropStyle="combo" dx="25" fmlaLink="CSSols!$H$29" fmlaRange="CSSols!$K$26:$K$32" noThreeD="1" val="0"/>
</file>

<file path=xl/ctrlProps/ctrlProp61.xml><?xml version="1.0" encoding="utf-8"?>
<formControlPr xmlns="http://schemas.microsoft.com/office/spreadsheetml/2009/9/main" objectType="Spin" dx="25" fmlaLink="CSSols!$J$37" max="1" page="10" val="0"/>
</file>

<file path=xl/ctrlProps/ctrlProp62.xml><?xml version="1.0" encoding="utf-8"?>
<formControlPr xmlns="http://schemas.microsoft.com/office/spreadsheetml/2009/9/main" objectType="Spin" dx="25" fmlaLink="CSSols!$J$38" max="1" page="10" val="0"/>
</file>

<file path=xl/ctrlProps/ctrlProp63.xml><?xml version="1.0" encoding="utf-8"?>
<formControlPr xmlns="http://schemas.microsoft.com/office/spreadsheetml/2009/9/main" objectType="Spin" dx="25" fmlaLink="CSSols!$J$39" max="1" page="10" val="0"/>
</file>

<file path=xl/ctrlProps/ctrlProp64.xml><?xml version="1.0" encoding="utf-8"?>
<formControlPr xmlns="http://schemas.microsoft.com/office/spreadsheetml/2009/9/main" objectType="Spin" dx="25" fmlaLink="CSSols!$J$40" max="1" page="10" val="0"/>
</file>

<file path=xl/ctrlProps/ctrlProp65.xml><?xml version="1.0" encoding="utf-8"?>
<formControlPr xmlns="http://schemas.microsoft.com/office/spreadsheetml/2009/9/main" objectType="Spin" dx="25" fmlaLink="CSSols!$J$41" max="1" page="10" val="0"/>
</file>

<file path=xl/ctrlProps/ctrlProp66.xml><?xml version="1.0" encoding="utf-8"?>
<formControlPr xmlns="http://schemas.microsoft.com/office/spreadsheetml/2009/9/main" objectType="Spin" dx="25" fmlaLink="CSSols!$H$43" max="1" page="10" val="0"/>
</file>

<file path=xl/ctrlProps/ctrlProp67.xml><?xml version="1.0" encoding="utf-8"?>
<formControlPr xmlns="http://schemas.microsoft.com/office/spreadsheetml/2009/9/main" objectType="Drop" dropStyle="combo" dx="25" fmlaLink="CSSols!$H$45" fmlaRange="CSSols!$K$26:$K$32" noThreeD="1" val="0"/>
</file>

<file path=xl/ctrlProps/ctrlProp68.xml><?xml version="1.0" encoding="utf-8"?>
<formControlPr xmlns="http://schemas.microsoft.com/office/spreadsheetml/2009/9/main" objectType="Drop" dropStyle="combo" dx="25" fmlaLink="CSSols!$H$49" fmlaRange="CSSols!$I$47:$I$50" noThreeD="1" val="0"/>
</file>

<file path=xl/ctrlProps/ctrlProp69.xml><?xml version="1.0" encoding="utf-8"?>
<formControlPr xmlns="http://schemas.microsoft.com/office/spreadsheetml/2009/9/main" objectType="Spin" dx="25" fmlaLink="CSSols!$J$58" max="100" page="10" val="26"/>
</file>

<file path=xl/ctrlProps/ctrlProp7.xml><?xml version="1.0" encoding="utf-8"?>
<formControlPr xmlns="http://schemas.microsoft.com/office/spreadsheetml/2009/9/main" objectType="Drop" dropStyle="combo" dx="16" fmlaLink="ConstructingDemandSols!$G$76" fmlaRange="ConstructingDemandSols!$K$26:$K$32" noThreeD="1" val="0"/>
</file>

<file path=xl/ctrlProps/ctrlProp70.xml><?xml version="1.0" encoding="utf-8"?>
<formControlPr xmlns="http://schemas.microsoft.com/office/spreadsheetml/2009/9/main" objectType="Drop" dropStyle="combo" dx="25" fmlaLink="CSSols!$G$76" fmlaRange="CSSols!$K$26:$K$32" noThreeD="1" val="0"/>
</file>

<file path=xl/ctrlProps/ctrlProp71.xml><?xml version="1.0" encoding="utf-8"?>
<formControlPr xmlns="http://schemas.microsoft.com/office/spreadsheetml/2009/9/main" objectType="Drop" dropStyle="combo" dx="25" fmlaLink="CSSols!$G$80" fmlaRange="CSSols!$K$26:$K$32" noThreeD="1" val="0"/>
</file>

<file path=xl/ctrlProps/ctrlProp72.xml><?xml version="1.0" encoding="utf-8"?>
<formControlPr xmlns="http://schemas.microsoft.com/office/spreadsheetml/2009/9/main" objectType="Drop" dropStyle="combo" dx="25" fmlaLink="CSSols!$G$84" fmlaRange="CSSols!$K$26:$K$32" noThreeD="1" val="0"/>
</file>

<file path=xl/ctrlProps/ctrlProp73.xml><?xml version="1.0" encoding="utf-8"?>
<formControlPr xmlns="http://schemas.microsoft.com/office/spreadsheetml/2009/9/main" objectType="Drop" dropStyle="combo" dx="25" fmlaLink="CSSols!$G$88" fmlaRange="CSSols!$I$87:$I$89" noThreeD="1" val="0"/>
</file>

<file path=xl/ctrlProps/ctrlProp74.xml><?xml version="1.0" encoding="utf-8"?>
<formControlPr xmlns="http://schemas.microsoft.com/office/spreadsheetml/2009/9/main" objectType="Drop" dropStyle="combo" dx="16" fmlaLink="CSSols!$H$29" fmlaRange="CSSols!$K$26:$K$32" noThreeD="1" val="0"/>
</file>

<file path=xl/ctrlProps/ctrlProp75.xml><?xml version="1.0" encoding="utf-8"?>
<formControlPr xmlns="http://schemas.microsoft.com/office/spreadsheetml/2009/9/main" objectType="Drop" dropStyle="combo" dx="16" fmlaLink="CSSols!$H$45" fmlaRange="CSSols!$K$26:$K$32" noThreeD="1" val="0"/>
</file>

<file path=xl/ctrlProps/ctrlProp76.xml><?xml version="1.0" encoding="utf-8"?>
<formControlPr xmlns="http://schemas.microsoft.com/office/spreadsheetml/2009/9/main" objectType="Drop" dropStyle="combo" dx="16" fmlaLink="CSSols!$H$49" fmlaRange="CSSols!$I$47:$I$50" noThreeD="1" val="0"/>
</file>

<file path=xl/ctrlProps/ctrlProp77.xml><?xml version="1.0" encoding="utf-8"?>
<formControlPr xmlns="http://schemas.microsoft.com/office/spreadsheetml/2009/9/main" objectType="Drop" dropStyle="combo" dx="16" fmlaLink="CSSols!$G$76" fmlaRange="CSSols!$K$26:$K$32" noThreeD="1" val="0"/>
</file>

<file path=xl/ctrlProps/ctrlProp78.xml><?xml version="1.0" encoding="utf-8"?>
<formControlPr xmlns="http://schemas.microsoft.com/office/spreadsheetml/2009/9/main" objectType="Drop" dropStyle="combo" dx="16" fmlaLink="CSSols!$G$80" fmlaRange="CSSols!$K$26:$K$32" noThreeD="1" val="0"/>
</file>

<file path=xl/ctrlProps/ctrlProp79.xml><?xml version="1.0" encoding="utf-8"?>
<formControlPr xmlns="http://schemas.microsoft.com/office/spreadsheetml/2009/9/main" objectType="Drop" dropStyle="combo" dx="16" fmlaLink="CSSols!$G$84" fmlaRange="CSSols!$K$26:$K$32" noThreeD="1" val="0"/>
</file>

<file path=xl/ctrlProps/ctrlProp8.xml><?xml version="1.0" encoding="utf-8"?>
<formControlPr xmlns="http://schemas.microsoft.com/office/spreadsheetml/2009/9/main" objectType="Drop" dropStyle="combo" dx="16" fmlaLink="ConstructingDemandSols!$G$80" fmlaRange="ConstructingDemandSols!$K$26:$K$32" noThreeD="1" val="0"/>
</file>

<file path=xl/ctrlProps/ctrlProp80.xml><?xml version="1.0" encoding="utf-8"?>
<formControlPr xmlns="http://schemas.microsoft.com/office/spreadsheetml/2009/9/main" objectType="Drop" dropStyle="combo" dx="16" fmlaLink="CSSols!$G$88" fmlaRange="CSSols!$I$87:$I$89" noThreeD="1" val="0"/>
</file>

<file path=xl/ctrlProps/ctrlProp81.xml><?xml version="1.0" encoding="utf-8"?>
<formControlPr xmlns="http://schemas.microsoft.com/office/spreadsheetml/2009/9/main" objectType="Spin" dx="25" fmlaLink="CSSols!$J$21" max="1" page="10" val="0"/>
</file>

<file path=xl/ctrlProps/ctrlProp82.xml><?xml version="1.0" encoding="utf-8"?>
<formControlPr xmlns="http://schemas.microsoft.com/office/spreadsheetml/2009/9/main" objectType="Spin" dx="25" fmlaLink="CSSols!$J$22" max="1" page="10" val="0"/>
</file>

<file path=xl/ctrlProps/ctrlProp83.xml><?xml version="1.0" encoding="utf-8"?>
<formControlPr xmlns="http://schemas.microsoft.com/office/spreadsheetml/2009/9/main" objectType="Spin" dx="25" fmlaLink="CSSols!$J$23" max="1" page="10" val="0"/>
</file>

<file path=xl/ctrlProps/ctrlProp84.xml><?xml version="1.0" encoding="utf-8"?>
<formControlPr xmlns="http://schemas.microsoft.com/office/spreadsheetml/2009/9/main" objectType="Spin" dx="25" fmlaLink="CSSols!$J$24" max="1" page="10" val="0"/>
</file>

<file path=xl/ctrlProps/ctrlProp85.xml><?xml version="1.0" encoding="utf-8"?>
<formControlPr xmlns="http://schemas.microsoft.com/office/spreadsheetml/2009/9/main" objectType="Spin" dx="25" fmlaLink="CSSols!$J$25" max="1" page="10" val="0"/>
</file>

<file path=xl/ctrlProps/ctrlProp86.xml><?xml version="1.0" encoding="utf-8"?>
<formControlPr xmlns="http://schemas.microsoft.com/office/spreadsheetml/2009/9/main" objectType="Spin" dx="25" fmlaLink="CSSols!$H$27" max="1" page="10" val="0"/>
</file>

<file path=xl/ctrlProps/ctrlProp87.xml><?xml version="1.0" encoding="utf-8"?>
<formControlPr xmlns="http://schemas.microsoft.com/office/spreadsheetml/2009/9/main" objectType="Spin" dx="25" fmlaLink="CSSols!$J$37" max="1" page="10" val="0"/>
</file>

<file path=xl/ctrlProps/ctrlProp88.xml><?xml version="1.0" encoding="utf-8"?>
<formControlPr xmlns="http://schemas.microsoft.com/office/spreadsheetml/2009/9/main" objectType="Spin" dx="25" fmlaLink="CSSols!$J$38" max="1" page="10" val="0"/>
</file>

<file path=xl/ctrlProps/ctrlProp89.xml><?xml version="1.0" encoding="utf-8"?>
<formControlPr xmlns="http://schemas.microsoft.com/office/spreadsheetml/2009/9/main" objectType="Spin" dx="25" fmlaLink="CSSols!$J$39" max="1" page="10" val="0"/>
</file>

<file path=xl/ctrlProps/ctrlProp9.xml><?xml version="1.0" encoding="utf-8"?>
<formControlPr xmlns="http://schemas.microsoft.com/office/spreadsheetml/2009/9/main" objectType="Drop" dropStyle="combo" dx="16" fmlaLink="ConstructingDemandSols!$G$84" fmlaRange="ConstructingDemandSols!$K$26:$K$32" noThreeD="1" val="0"/>
</file>

<file path=xl/ctrlProps/ctrlProp90.xml><?xml version="1.0" encoding="utf-8"?>
<formControlPr xmlns="http://schemas.microsoft.com/office/spreadsheetml/2009/9/main" objectType="Spin" dx="25" fmlaLink="CSSols!$J$40" max="1" page="10" val="0"/>
</file>

<file path=xl/ctrlProps/ctrlProp91.xml><?xml version="1.0" encoding="utf-8"?>
<formControlPr xmlns="http://schemas.microsoft.com/office/spreadsheetml/2009/9/main" objectType="Spin" dx="25" fmlaLink="CSSols!$J$41" max="1" page="10" val="0"/>
</file>

<file path=xl/ctrlProps/ctrlProp92.xml><?xml version="1.0" encoding="utf-8"?>
<formControlPr xmlns="http://schemas.microsoft.com/office/spreadsheetml/2009/9/main" objectType="Spin" dx="25" fmlaLink="CSSols!$H$43" max="1" page="10" val="0"/>
</file>

<file path=xl/ctrlProps/ctrlProp93.xml><?xml version="1.0" encoding="utf-8"?>
<formControlPr xmlns="http://schemas.microsoft.com/office/spreadsheetml/2009/9/main" objectType="Spin" dx="25" fmlaLink="CSSols!$J$58" max="100" page="10" val="26"/>
</file>

<file path=xl/ctrlProps/ctrlProp94.xml><?xml version="1.0" encoding="utf-8"?>
<formControlPr xmlns="http://schemas.microsoft.com/office/spreadsheetml/2009/9/main" objectType="Drop" dropStyle="combo" dx="16" fmlaLink="TradeSols!$G$48" fmlaRange="TradeSols!$L$50:$L$52" noThreeD="1" val="0"/>
</file>

<file path=xl/ctrlProps/ctrlProp95.xml><?xml version="1.0" encoding="utf-8"?>
<formControlPr xmlns="http://schemas.microsoft.com/office/spreadsheetml/2009/9/main" objectType="Drop" dropStyle="combo" dx="16" fmlaLink="TradeSols!$G$55" fmlaRange="TradeSols!$L$53:$L$58" noThreeD="1" val="0"/>
</file>

<file path=xl/ctrlProps/ctrlProp96.xml><?xml version="1.0" encoding="utf-8"?>
<formControlPr xmlns="http://schemas.microsoft.com/office/spreadsheetml/2009/9/main" objectType="Spin" dx="15" fmlaLink="TradeSols!$O$45" max="5" min="1" page="10"/>
</file>

<file path=xl/ctrlProps/ctrlProp97.xml><?xml version="1.0" encoding="utf-8"?>
<formControlPr xmlns="http://schemas.microsoft.com/office/spreadsheetml/2009/9/main" objectType="Spin" dx="15" fmlaLink="TradeSols!O90" max="5" min="1" page="10"/>
</file>

<file path=xl/ctrlProps/ctrlProp98.xml><?xml version="1.0" encoding="utf-8"?>
<formControlPr xmlns="http://schemas.microsoft.com/office/spreadsheetml/2009/9/main" objectType="Drop" dropStyle="combo" dx="16" fmlaLink="TradeSols!$H$97" fmlaRange="TradeSols!$I$96:$I$98" noThreeD="1" val="0"/>
</file>

<file path=xl/ctrlProps/ctrlProp99.xml><?xml version="1.0" encoding="utf-8"?>
<formControlPr xmlns="http://schemas.microsoft.com/office/spreadsheetml/2009/9/main" objectType="Drop" dropStyle="combo" dx="16" fmlaLink="TradeSols!$H$100" fmlaRange="TradeSols!$I$96:$I$98" noThreeD="1" val="0"/>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1" Type="http://schemas.openxmlformats.org/officeDocument/2006/relationships/image" Target="../media/image37.emf"/><Relationship Id="rId12" Type="http://schemas.openxmlformats.org/officeDocument/2006/relationships/image" Target="../media/image38.emf"/><Relationship Id="rId13" Type="http://schemas.openxmlformats.org/officeDocument/2006/relationships/image" Target="../media/image39.emf"/><Relationship Id="rId14" Type="http://schemas.openxmlformats.org/officeDocument/2006/relationships/image" Target="../media/image14.emf"/><Relationship Id="rId1" Type="http://schemas.openxmlformats.org/officeDocument/2006/relationships/chart" Target="../charts/chart13.xml"/><Relationship Id="rId2" Type="http://schemas.openxmlformats.org/officeDocument/2006/relationships/image" Target="../media/image28.emf"/><Relationship Id="rId3" Type="http://schemas.openxmlformats.org/officeDocument/2006/relationships/image" Target="../media/image29.emf"/><Relationship Id="rId4" Type="http://schemas.openxmlformats.org/officeDocument/2006/relationships/image" Target="../media/image30.emf"/><Relationship Id="rId5" Type="http://schemas.openxmlformats.org/officeDocument/2006/relationships/image" Target="../media/image31.emf"/><Relationship Id="rId6" Type="http://schemas.openxmlformats.org/officeDocument/2006/relationships/image" Target="../media/image32.emf"/><Relationship Id="rId7" Type="http://schemas.openxmlformats.org/officeDocument/2006/relationships/image" Target="../media/image33.emf"/><Relationship Id="rId8" Type="http://schemas.openxmlformats.org/officeDocument/2006/relationships/image" Target="../media/image34.emf"/><Relationship Id="rId9" Type="http://schemas.openxmlformats.org/officeDocument/2006/relationships/image" Target="../media/image35.emf"/><Relationship Id="rId10" Type="http://schemas.openxmlformats.org/officeDocument/2006/relationships/image" Target="../media/image36.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1" Type="http://schemas.openxmlformats.org/officeDocument/2006/relationships/image" Target="../media/image11.emf"/><Relationship Id="rId12" Type="http://schemas.openxmlformats.org/officeDocument/2006/relationships/image" Target="../media/image12.emf"/><Relationship Id="rId13" Type="http://schemas.openxmlformats.org/officeDocument/2006/relationships/image" Target="../media/image13.emf"/><Relationship Id="rId14" Type="http://schemas.openxmlformats.org/officeDocument/2006/relationships/image" Target="../media/image14.emf"/><Relationship Id="rId1" Type="http://schemas.openxmlformats.org/officeDocument/2006/relationships/chart" Target="../charts/chart2.xml"/><Relationship Id="rId2" Type="http://schemas.openxmlformats.org/officeDocument/2006/relationships/image" Target="../media/image2.emf"/><Relationship Id="rId3" Type="http://schemas.openxmlformats.org/officeDocument/2006/relationships/image" Target="../media/image3.emf"/><Relationship Id="rId4" Type="http://schemas.openxmlformats.org/officeDocument/2006/relationships/image" Target="../media/image4.emf"/><Relationship Id="rId5" Type="http://schemas.openxmlformats.org/officeDocument/2006/relationships/image" Target="../media/image5.emf"/><Relationship Id="rId6" Type="http://schemas.openxmlformats.org/officeDocument/2006/relationships/image" Target="../media/image6.emf"/><Relationship Id="rId7" Type="http://schemas.openxmlformats.org/officeDocument/2006/relationships/image" Target="../media/image7.emf"/><Relationship Id="rId8" Type="http://schemas.openxmlformats.org/officeDocument/2006/relationships/image" Target="../media/image8.emf"/><Relationship Id="rId9" Type="http://schemas.openxmlformats.org/officeDocument/2006/relationships/image" Target="../media/image9.emf"/><Relationship Id="rId10" Type="http://schemas.openxmlformats.org/officeDocument/2006/relationships/image" Target="../media/image10.emf"/></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1" Type="http://schemas.openxmlformats.org/officeDocument/2006/relationships/image" Target="../media/image23.emf"/><Relationship Id="rId12" Type="http://schemas.openxmlformats.org/officeDocument/2006/relationships/image" Target="../media/image24.emf"/><Relationship Id="rId13" Type="http://schemas.openxmlformats.org/officeDocument/2006/relationships/image" Target="../media/image25.emf"/><Relationship Id="rId1" Type="http://schemas.openxmlformats.org/officeDocument/2006/relationships/chart" Target="../charts/chart8.xml"/><Relationship Id="rId2" Type="http://schemas.openxmlformats.org/officeDocument/2006/relationships/chart" Target="../charts/chart9.xml"/><Relationship Id="rId3" Type="http://schemas.openxmlformats.org/officeDocument/2006/relationships/image" Target="../media/image16.emf"/><Relationship Id="rId4" Type="http://schemas.openxmlformats.org/officeDocument/2006/relationships/image" Target="../media/image14.emf"/><Relationship Id="rId5" Type="http://schemas.openxmlformats.org/officeDocument/2006/relationships/image" Target="../media/image17.emf"/><Relationship Id="rId6" Type="http://schemas.openxmlformats.org/officeDocument/2006/relationships/image" Target="../media/image18.emf"/><Relationship Id="rId7" Type="http://schemas.openxmlformats.org/officeDocument/2006/relationships/image" Target="../media/image19.emf"/><Relationship Id="rId8" Type="http://schemas.openxmlformats.org/officeDocument/2006/relationships/image" Target="../media/image20.emf"/><Relationship Id="rId9" Type="http://schemas.openxmlformats.org/officeDocument/2006/relationships/image" Target="../media/image21.emf"/><Relationship Id="rId10" Type="http://schemas.openxmlformats.org/officeDocument/2006/relationships/image" Target="../media/image22.emf"/></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558800</xdr:colOff>
          <xdr:row>13</xdr:row>
          <xdr:rowOff>25400</xdr:rowOff>
        </xdr:from>
        <xdr:to>
          <xdr:col>6</xdr:col>
          <xdr:colOff>114300</xdr:colOff>
          <xdr:row>14</xdr:row>
          <xdr:rowOff>50800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13</xdr:row>
          <xdr:rowOff>38100</xdr:rowOff>
        </xdr:from>
        <xdr:to>
          <xdr:col>7</xdr:col>
          <xdr:colOff>622300</xdr:colOff>
          <xdr:row>14</xdr:row>
          <xdr:rowOff>63500</xdr:rowOff>
        </xdr:to>
        <xdr:sp macro="" textlink="">
          <xdr:nvSpPr>
            <xdr:cNvPr id="3074" name="Drop Down 2" hidden="1">
              <a:extLst>
                <a:ext uri="{63B3BB69-23CF-44E3-9099-C40C66FF867C}">
                  <a14:compatExt spid="_x0000_s30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13</xdr:row>
          <xdr:rowOff>25400</xdr:rowOff>
        </xdr:from>
        <xdr:to>
          <xdr:col>10</xdr:col>
          <xdr:colOff>101600</xdr:colOff>
          <xdr:row>14</xdr:row>
          <xdr:rowOff>50800</xdr:rowOff>
        </xdr:to>
        <xdr:sp macro="" textlink="">
          <xdr:nvSpPr>
            <xdr:cNvPr id="3075" name="Drop Down 3" hidden="1">
              <a:extLst>
                <a:ext uri="{63B3BB69-23CF-44E3-9099-C40C66FF867C}">
                  <a14:compatExt spid="_x0000_s3075"/>
                </a:ext>
              </a:extLst>
            </xdr:cNvPr>
            <xdr:cNvSpPr/>
          </xdr:nvSpPr>
          <xdr:spPr>
            <a:xfrm>
              <a:off x="0" y="0"/>
              <a:ext cx="0" cy="0"/>
            </a:xfrm>
            <a:prstGeom prst="rect">
              <a:avLst/>
            </a:prstGeom>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257175</xdr:colOff>
      <xdr:row>0</xdr:row>
      <xdr:rowOff>9525</xdr:rowOff>
    </xdr:from>
    <xdr:to>
      <xdr:col>10</xdr:col>
      <xdr:colOff>371475</xdr:colOff>
      <xdr:row>15</xdr:row>
      <xdr:rowOff>133350</xdr:rowOff>
    </xdr:to>
    <xdr:graphicFrame macro="">
      <xdr:nvGraphicFramePr>
        <xdr:cNvPr id="522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11</xdr:col>
          <xdr:colOff>266700</xdr:colOff>
          <xdr:row>6</xdr:row>
          <xdr:rowOff>88900</xdr:rowOff>
        </xdr:from>
        <xdr:to>
          <xdr:col>12</xdr:col>
          <xdr:colOff>114300</xdr:colOff>
          <xdr:row>9</xdr:row>
          <xdr:rowOff>0</xdr:rowOff>
        </xdr:to>
        <xdr:sp macro="" textlink="">
          <xdr:nvSpPr>
            <xdr:cNvPr id="52225" name="Spinner 1" hidden="1">
              <a:extLst>
                <a:ext uri="{63B3BB69-23CF-44E3-9099-C40C66FF867C}">
                  <a14:compatExt spid="_x0000_s52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35</xdr:row>
          <xdr:rowOff>25400</xdr:rowOff>
        </xdr:from>
        <xdr:to>
          <xdr:col>6</xdr:col>
          <xdr:colOff>368300</xdr:colOff>
          <xdr:row>36</xdr:row>
          <xdr:rowOff>50800</xdr:rowOff>
        </xdr:to>
        <xdr:sp macro="" textlink="">
          <xdr:nvSpPr>
            <xdr:cNvPr id="52227" name="Drop Down 3" hidden="1">
              <a:extLst>
                <a:ext uri="{63B3BB69-23CF-44E3-9099-C40C66FF867C}">
                  <a14:compatExt spid="_x0000_s52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39</xdr:row>
          <xdr:rowOff>12700</xdr:rowOff>
        </xdr:from>
        <xdr:to>
          <xdr:col>8</xdr:col>
          <xdr:colOff>406400</xdr:colOff>
          <xdr:row>40</xdr:row>
          <xdr:rowOff>38100</xdr:rowOff>
        </xdr:to>
        <xdr:sp macro="" textlink="">
          <xdr:nvSpPr>
            <xdr:cNvPr id="52228" name="Drop Down 4" hidden="1">
              <a:extLst>
                <a:ext uri="{63B3BB69-23CF-44E3-9099-C40C66FF867C}">
                  <a14:compatExt spid="_x0000_s52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43</xdr:row>
          <xdr:rowOff>12700</xdr:rowOff>
        </xdr:from>
        <xdr:to>
          <xdr:col>8</xdr:col>
          <xdr:colOff>406400</xdr:colOff>
          <xdr:row>44</xdr:row>
          <xdr:rowOff>38100</xdr:rowOff>
        </xdr:to>
        <xdr:sp macro="" textlink="">
          <xdr:nvSpPr>
            <xdr:cNvPr id="52229" name="Drop Down 5" hidden="1">
              <a:extLst>
                <a:ext uri="{63B3BB69-23CF-44E3-9099-C40C66FF867C}">
                  <a14:compatExt spid="_x0000_s52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50</xdr:row>
          <xdr:rowOff>12700</xdr:rowOff>
        </xdr:from>
        <xdr:to>
          <xdr:col>4</xdr:col>
          <xdr:colOff>38100</xdr:colOff>
          <xdr:row>51</xdr:row>
          <xdr:rowOff>38100</xdr:rowOff>
        </xdr:to>
        <xdr:sp macro="" textlink="">
          <xdr:nvSpPr>
            <xdr:cNvPr id="52230" name="Drop Down 6" hidden="1">
              <a:extLst>
                <a:ext uri="{63B3BB69-23CF-44E3-9099-C40C66FF867C}">
                  <a14:compatExt spid="_x0000_s52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58</xdr:row>
          <xdr:rowOff>12700</xdr:rowOff>
        </xdr:from>
        <xdr:to>
          <xdr:col>4</xdr:col>
          <xdr:colOff>38100</xdr:colOff>
          <xdr:row>59</xdr:row>
          <xdr:rowOff>38100</xdr:rowOff>
        </xdr:to>
        <xdr:sp macro="" textlink="">
          <xdr:nvSpPr>
            <xdr:cNvPr id="52231" name="Drop Down 7" hidden="1">
              <a:extLst>
                <a:ext uri="{63B3BB69-23CF-44E3-9099-C40C66FF867C}">
                  <a14:compatExt spid="_x0000_s52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69</xdr:row>
          <xdr:rowOff>12700</xdr:rowOff>
        </xdr:from>
        <xdr:to>
          <xdr:col>9</xdr:col>
          <xdr:colOff>76200</xdr:colOff>
          <xdr:row>70</xdr:row>
          <xdr:rowOff>38100</xdr:rowOff>
        </xdr:to>
        <xdr:sp macro="" textlink="">
          <xdr:nvSpPr>
            <xdr:cNvPr id="52232" name="Drop Down 8" hidden="1">
              <a:extLst>
                <a:ext uri="{63B3BB69-23CF-44E3-9099-C40C66FF867C}">
                  <a14:compatExt spid="_x0000_s52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74</xdr:row>
          <xdr:rowOff>12700</xdr:rowOff>
        </xdr:from>
        <xdr:to>
          <xdr:col>7</xdr:col>
          <xdr:colOff>203200</xdr:colOff>
          <xdr:row>75</xdr:row>
          <xdr:rowOff>50800</xdr:rowOff>
        </xdr:to>
        <xdr:sp macro="" textlink="">
          <xdr:nvSpPr>
            <xdr:cNvPr id="52233" name="Drop Down 9" hidden="1">
              <a:extLst>
                <a:ext uri="{63B3BB69-23CF-44E3-9099-C40C66FF867C}">
                  <a14:compatExt spid="_x0000_s52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79</xdr:row>
          <xdr:rowOff>12700</xdr:rowOff>
        </xdr:from>
        <xdr:to>
          <xdr:col>7</xdr:col>
          <xdr:colOff>317500</xdr:colOff>
          <xdr:row>80</xdr:row>
          <xdr:rowOff>50800</xdr:rowOff>
        </xdr:to>
        <xdr:sp macro="" textlink="">
          <xdr:nvSpPr>
            <xdr:cNvPr id="52234" name="Drop Down 10" hidden="1">
              <a:extLst>
                <a:ext uri="{63B3BB69-23CF-44E3-9099-C40C66FF867C}">
                  <a14:compatExt spid="_x0000_s52234"/>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6</xdr:col>
      <xdr:colOff>571500</xdr:colOff>
      <xdr:row>11</xdr:row>
      <xdr:rowOff>12701</xdr:rowOff>
    </xdr:from>
    <xdr:to>
      <xdr:col>12</xdr:col>
      <xdr:colOff>495300</xdr:colOff>
      <xdr:row>23</xdr:row>
      <xdr:rowOff>38100</xdr:rowOff>
    </xdr:to>
    <xdr:graphicFrame macro="">
      <xdr:nvGraphicFramePr>
        <xdr:cNvPr id="542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241300</xdr:colOff>
          <xdr:row>25</xdr:row>
          <xdr:rowOff>0</xdr:rowOff>
        </xdr:from>
        <xdr:to>
          <xdr:col>1</xdr:col>
          <xdr:colOff>381000</xdr:colOff>
          <xdr:row>26</xdr:row>
          <xdr:rowOff>88900</xdr:rowOff>
        </xdr:to>
        <xdr:sp macro="" textlink="">
          <xdr:nvSpPr>
            <xdr:cNvPr id="54274" name="Spinner 2" hidden="1">
              <a:extLst>
                <a:ext uri="{63B3BB69-23CF-44E3-9099-C40C66FF867C}">
                  <a14:compatExt spid="_x0000_s54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4</xdr:col>
          <xdr:colOff>596900</xdr:colOff>
          <xdr:row>32</xdr:row>
          <xdr:rowOff>38100</xdr:rowOff>
        </xdr:to>
        <xdr:sp macro="" textlink="">
          <xdr:nvSpPr>
            <xdr:cNvPr id="54277" name="Drop Down 5" hidden="1">
              <a:extLst>
                <a:ext uri="{63B3BB69-23CF-44E3-9099-C40C66FF867C}">
                  <a14:compatExt spid="_x0000_s54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4</xdr:col>
          <xdr:colOff>622300</xdr:colOff>
          <xdr:row>37</xdr:row>
          <xdr:rowOff>88900</xdr:rowOff>
        </xdr:to>
        <xdr:sp macro="" textlink="">
          <xdr:nvSpPr>
            <xdr:cNvPr id="54278" name="Drop Down 6" hidden="1">
              <a:extLst>
                <a:ext uri="{63B3BB69-23CF-44E3-9099-C40C66FF867C}">
                  <a14:compatExt spid="_x0000_s54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5</xdr:col>
          <xdr:colOff>12700</xdr:colOff>
          <xdr:row>42</xdr:row>
          <xdr:rowOff>50800</xdr:rowOff>
        </xdr:to>
        <xdr:sp macro="" textlink="">
          <xdr:nvSpPr>
            <xdr:cNvPr id="54279" name="Drop Down 7" hidden="1">
              <a:extLst>
                <a:ext uri="{63B3BB69-23CF-44E3-9099-C40C66FF867C}">
                  <a14:compatExt spid="_x0000_s54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6</xdr:col>
          <xdr:colOff>0</xdr:colOff>
          <xdr:row>47</xdr:row>
          <xdr:rowOff>50800</xdr:rowOff>
        </xdr:to>
        <xdr:sp macro="" textlink="">
          <xdr:nvSpPr>
            <xdr:cNvPr id="54280" name="Drop Down 8" hidden="1">
              <a:extLst>
                <a:ext uri="{63B3BB69-23CF-44E3-9099-C40C66FF867C}">
                  <a14:compatExt spid="_x0000_s54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3</xdr:row>
          <xdr:rowOff>63500</xdr:rowOff>
        </xdr:from>
        <xdr:to>
          <xdr:col>11</xdr:col>
          <xdr:colOff>368300</xdr:colOff>
          <xdr:row>7</xdr:row>
          <xdr:rowOff>139700</xdr:rowOff>
        </xdr:to>
        <xdr:sp macro="" textlink="">
          <xdr:nvSpPr>
            <xdr:cNvPr id="54281" name="Object 9" hidden="1">
              <a:extLst>
                <a:ext uri="{63B3BB69-23CF-44E3-9099-C40C66FF867C}">
                  <a14:compatExt spid="_x0000_s542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12</xdr:row>
          <xdr:rowOff>63500</xdr:rowOff>
        </xdr:from>
        <xdr:to>
          <xdr:col>2</xdr:col>
          <xdr:colOff>139700</xdr:colOff>
          <xdr:row>13</xdr:row>
          <xdr:rowOff>25400</xdr:rowOff>
        </xdr:to>
        <xdr:sp macro="" textlink="">
          <xdr:nvSpPr>
            <xdr:cNvPr id="54282" name="Spinner 10" hidden="1">
              <a:extLst>
                <a:ext uri="{63B3BB69-23CF-44E3-9099-C40C66FF867C}">
                  <a14:compatExt spid="_x0000_s54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13</xdr:row>
          <xdr:rowOff>63500</xdr:rowOff>
        </xdr:from>
        <xdr:to>
          <xdr:col>2</xdr:col>
          <xdr:colOff>139700</xdr:colOff>
          <xdr:row>14</xdr:row>
          <xdr:rowOff>25400</xdr:rowOff>
        </xdr:to>
        <xdr:sp macro="" textlink="">
          <xdr:nvSpPr>
            <xdr:cNvPr id="54283" name="Spinner 11" hidden="1">
              <a:extLst>
                <a:ext uri="{63B3BB69-23CF-44E3-9099-C40C66FF867C}">
                  <a14:compatExt spid="_x0000_s54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14</xdr:row>
          <xdr:rowOff>63500</xdr:rowOff>
        </xdr:from>
        <xdr:to>
          <xdr:col>2</xdr:col>
          <xdr:colOff>139700</xdr:colOff>
          <xdr:row>15</xdr:row>
          <xdr:rowOff>25400</xdr:rowOff>
        </xdr:to>
        <xdr:sp macro="" textlink="">
          <xdr:nvSpPr>
            <xdr:cNvPr id="54284" name="Spinner 12" hidden="1">
              <a:extLst>
                <a:ext uri="{63B3BB69-23CF-44E3-9099-C40C66FF867C}">
                  <a14:compatExt spid="_x0000_s54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15</xdr:row>
          <xdr:rowOff>63500</xdr:rowOff>
        </xdr:from>
        <xdr:to>
          <xdr:col>2</xdr:col>
          <xdr:colOff>139700</xdr:colOff>
          <xdr:row>16</xdr:row>
          <xdr:rowOff>25400</xdr:rowOff>
        </xdr:to>
        <xdr:sp macro="" textlink="">
          <xdr:nvSpPr>
            <xdr:cNvPr id="54285" name="Spinner 13" hidden="1">
              <a:extLst>
                <a:ext uri="{63B3BB69-23CF-44E3-9099-C40C66FF867C}">
                  <a14:compatExt spid="_x0000_s54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16</xdr:row>
          <xdr:rowOff>63500</xdr:rowOff>
        </xdr:from>
        <xdr:to>
          <xdr:col>2</xdr:col>
          <xdr:colOff>139700</xdr:colOff>
          <xdr:row>17</xdr:row>
          <xdr:rowOff>25400</xdr:rowOff>
        </xdr:to>
        <xdr:sp macro="" textlink="">
          <xdr:nvSpPr>
            <xdr:cNvPr id="54286" name="Spinner 14" hidden="1">
              <a:extLst>
                <a:ext uri="{63B3BB69-23CF-44E3-9099-C40C66FF867C}">
                  <a14:compatExt spid="_x0000_s54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17</xdr:row>
          <xdr:rowOff>63500</xdr:rowOff>
        </xdr:from>
        <xdr:to>
          <xdr:col>2</xdr:col>
          <xdr:colOff>139700</xdr:colOff>
          <xdr:row>18</xdr:row>
          <xdr:rowOff>25400</xdr:rowOff>
        </xdr:to>
        <xdr:sp macro="" textlink="">
          <xdr:nvSpPr>
            <xdr:cNvPr id="54287" name="Spinner 15" hidden="1">
              <a:extLst>
                <a:ext uri="{63B3BB69-23CF-44E3-9099-C40C66FF867C}">
                  <a14:compatExt spid="_x0000_s54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18</xdr:row>
          <xdr:rowOff>63500</xdr:rowOff>
        </xdr:from>
        <xdr:to>
          <xdr:col>2</xdr:col>
          <xdr:colOff>139700</xdr:colOff>
          <xdr:row>19</xdr:row>
          <xdr:rowOff>25400</xdr:rowOff>
        </xdr:to>
        <xdr:sp macro="" textlink="">
          <xdr:nvSpPr>
            <xdr:cNvPr id="54288" name="Spinner 16" hidden="1">
              <a:extLst>
                <a:ext uri="{63B3BB69-23CF-44E3-9099-C40C66FF867C}">
                  <a14:compatExt spid="_x0000_s54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19</xdr:row>
          <xdr:rowOff>63500</xdr:rowOff>
        </xdr:from>
        <xdr:to>
          <xdr:col>2</xdr:col>
          <xdr:colOff>139700</xdr:colOff>
          <xdr:row>20</xdr:row>
          <xdr:rowOff>25400</xdr:rowOff>
        </xdr:to>
        <xdr:sp macro="" textlink="">
          <xdr:nvSpPr>
            <xdr:cNvPr id="54289" name="Spinner 17" hidden="1">
              <a:extLst>
                <a:ext uri="{63B3BB69-23CF-44E3-9099-C40C66FF867C}">
                  <a14:compatExt spid="_x0000_s54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20</xdr:row>
          <xdr:rowOff>63500</xdr:rowOff>
        </xdr:from>
        <xdr:to>
          <xdr:col>2</xdr:col>
          <xdr:colOff>139700</xdr:colOff>
          <xdr:row>21</xdr:row>
          <xdr:rowOff>25400</xdr:rowOff>
        </xdr:to>
        <xdr:sp macro="" textlink="">
          <xdr:nvSpPr>
            <xdr:cNvPr id="54290" name="Spinner 18" hidden="1">
              <a:extLst>
                <a:ext uri="{63B3BB69-23CF-44E3-9099-C40C66FF867C}">
                  <a14:compatExt spid="_x0000_s54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21</xdr:row>
          <xdr:rowOff>63500</xdr:rowOff>
        </xdr:from>
        <xdr:to>
          <xdr:col>2</xdr:col>
          <xdr:colOff>139700</xdr:colOff>
          <xdr:row>22</xdr:row>
          <xdr:rowOff>25400</xdr:rowOff>
        </xdr:to>
        <xdr:sp macro="" textlink="">
          <xdr:nvSpPr>
            <xdr:cNvPr id="54291" name="Spinner 19" hidden="1">
              <a:extLst>
                <a:ext uri="{63B3BB69-23CF-44E3-9099-C40C66FF867C}">
                  <a14:compatExt spid="_x0000_s54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13</xdr:row>
          <xdr:rowOff>63500</xdr:rowOff>
        </xdr:from>
        <xdr:to>
          <xdr:col>2</xdr:col>
          <xdr:colOff>139700</xdr:colOff>
          <xdr:row>14</xdr:row>
          <xdr:rowOff>25400</xdr:rowOff>
        </xdr:to>
        <xdr:sp macro="" textlink="">
          <xdr:nvSpPr>
            <xdr:cNvPr id="54294" name="Spinner 22" hidden="1">
              <a:extLst>
                <a:ext uri="{63B3BB69-23CF-44E3-9099-C40C66FF867C}">
                  <a14:compatExt spid="_x0000_s54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14</xdr:row>
          <xdr:rowOff>63500</xdr:rowOff>
        </xdr:from>
        <xdr:to>
          <xdr:col>2</xdr:col>
          <xdr:colOff>139700</xdr:colOff>
          <xdr:row>15</xdr:row>
          <xdr:rowOff>25400</xdr:rowOff>
        </xdr:to>
        <xdr:sp macro="" textlink="">
          <xdr:nvSpPr>
            <xdr:cNvPr id="54295" name="Spinner 23" hidden="1">
              <a:extLst>
                <a:ext uri="{63B3BB69-23CF-44E3-9099-C40C66FF867C}">
                  <a14:compatExt spid="_x0000_s54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15</xdr:row>
          <xdr:rowOff>63500</xdr:rowOff>
        </xdr:from>
        <xdr:to>
          <xdr:col>2</xdr:col>
          <xdr:colOff>139700</xdr:colOff>
          <xdr:row>16</xdr:row>
          <xdr:rowOff>25400</xdr:rowOff>
        </xdr:to>
        <xdr:sp macro="" textlink="">
          <xdr:nvSpPr>
            <xdr:cNvPr id="54296" name="Spinner 24" hidden="1">
              <a:extLst>
                <a:ext uri="{63B3BB69-23CF-44E3-9099-C40C66FF867C}">
                  <a14:compatExt spid="_x0000_s54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16</xdr:row>
          <xdr:rowOff>63500</xdr:rowOff>
        </xdr:from>
        <xdr:to>
          <xdr:col>2</xdr:col>
          <xdr:colOff>139700</xdr:colOff>
          <xdr:row>17</xdr:row>
          <xdr:rowOff>25400</xdr:rowOff>
        </xdr:to>
        <xdr:sp macro="" textlink="">
          <xdr:nvSpPr>
            <xdr:cNvPr id="54297" name="Spinner 25" hidden="1">
              <a:extLst>
                <a:ext uri="{63B3BB69-23CF-44E3-9099-C40C66FF867C}">
                  <a14:compatExt spid="_x0000_s54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17</xdr:row>
          <xdr:rowOff>63500</xdr:rowOff>
        </xdr:from>
        <xdr:to>
          <xdr:col>2</xdr:col>
          <xdr:colOff>139700</xdr:colOff>
          <xdr:row>18</xdr:row>
          <xdr:rowOff>25400</xdr:rowOff>
        </xdr:to>
        <xdr:sp macro="" textlink="">
          <xdr:nvSpPr>
            <xdr:cNvPr id="54298" name="Spinner 26" hidden="1">
              <a:extLst>
                <a:ext uri="{63B3BB69-23CF-44E3-9099-C40C66FF867C}">
                  <a14:compatExt spid="_x0000_s54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18</xdr:row>
          <xdr:rowOff>63500</xdr:rowOff>
        </xdr:from>
        <xdr:to>
          <xdr:col>2</xdr:col>
          <xdr:colOff>139700</xdr:colOff>
          <xdr:row>19</xdr:row>
          <xdr:rowOff>25400</xdr:rowOff>
        </xdr:to>
        <xdr:sp macro="" textlink="">
          <xdr:nvSpPr>
            <xdr:cNvPr id="54299" name="Spinner 27" hidden="1">
              <a:extLst>
                <a:ext uri="{63B3BB69-23CF-44E3-9099-C40C66FF867C}">
                  <a14:compatExt spid="_x0000_s54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19</xdr:row>
          <xdr:rowOff>63500</xdr:rowOff>
        </xdr:from>
        <xdr:to>
          <xdr:col>2</xdr:col>
          <xdr:colOff>139700</xdr:colOff>
          <xdr:row>20</xdr:row>
          <xdr:rowOff>25400</xdr:rowOff>
        </xdr:to>
        <xdr:sp macro="" textlink="">
          <xdr:nvSpPr>
            <xdr:cNvPr id="54300" name="Spinner 28" hidden="1">
              <a:extLst>
                <a:ext uri="{63B3BB69-23CF-44E3-9099-C40C66FF867C}">
                  <a14:compatExt spid="_x0000_s54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20</xdr:row>
          <xdr:rowOff>63500</xdr:rowOff>
        </xdr:from>
        <xdr:to>
          <xdr:col>2</xdr:col>
          <xdr:colOff>139700</xdr:colOff>
          <xdr:row>21</xdr:row>
          <xdr:rowOff>25400</xdr:rowOff>
        </xdr:to>
        <xdr:sp macro="" textlink="">
          <xdr:nvSpPr>
            <xdr:cNvPr id="54301" name="Spinner 29" hidden="1">
              <a:extLst>
                <a:ext uri="{63B3BB69-23CF-44E3-9099-C40C66FF867C}">
                  <a14:compatExt spid="_x0000_s54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596900</xdr:colOff>
          <xdr:row>21</xdr:row>
          <xdr:rowOff>63500</xdr:rowOff>
        </xdr:from>
        <xdr:to>
          <xdr:col>2</xdr:col>
          <xdr:colOff>139700</xdr:colOff>
          <xdr:row>22</xdr:row>
          <xdr:rowOff>25400</xdr:rowOff>
        </xdr:to>
        <xdr:sp macro="" textlink="">
          <xdr:nvSpPr>
            <xdr:cNvPr id="54302" name="Spinner 30" hidden="1">
              <a:extLst>
                <a:ext uri="{63B3BB69-23CF-44E3-9099-C40C66FF867C}">
                  <a14:compatExt spid="_x0000_s54302"/>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3</xdr:col>
          <xdr:colOff>241300</xdr:colOff>
          <xdr:row>32</xdr:row>
          <xdr:rowOff>38100</xdr:rowOff>
        </xdr:to>
        <xdr:sp macro="" textlink="">
          <xdr:nvSpPr>
            <xdr:cNvPr id="55299" name="Drop Down 3" hidden="1">
              <a:extLst>
                <a:ext uri="{63B3BB69-23CF-44E3-9099-C40C66FF867C}">
                  <a14:compatExt spid="_x0000_s55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3</xdr:col>
          <xdr:colOff>266700</xdr:colOff>
          <xdr:row>37</xdr:row>
          <xdr:rowOff>50800</xdr:rowOff>
        </xdr:to>
        <xdr:sp macro="" textlink="">
          <xdr:nvSpPr>
            <xdr:cNvPr id="55300" name="Drop Down 4" hidden="1">
              <a:extLst>
                <a:ext uri="{63B3BB69-23CF-44E3-9099-C40C66FF867C}">
                  <a14:compatExt spid="_x0000_s55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3</xdr:col>
          <xdr:colOff>266700</xdr:colOff>
          <xdr:row>42</xdr:row>
          <xdr:rowOff>50800</xdr:rowOff>
        </xdr:to>
        <xdr:sp macro="" textlink="">
          <xdr:nvSpPr>
            <xdr:cNvPr id="55301" name="Drop Down 5" hidden="1">
              <a:extLst>
                <a:ext uri="{63B3BB69-23CF-44E3-9099-C40C66FF867C}">
                  <a14:compatExt spid="_x0000_s55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4</xdr:col>
          <xdr:colOff>317500</xdr:colOff>
          <xdr:row>47</xdr:row>
          <xdr:rowOff>50800</xdr:rowOff>
        </xdr:to>
        <xdr:sp macro="" textlink="">
          <xdr:nvSpPr>
            <xdr:cNvPr id="55302" name="Drop Down 6" hidden="1">
              <a:extLst>
                <a:ext uri="{63B3BB69-23CF-44E3-9099-C40C66FF867C}">
                  <a14:compatExt spid="_x0000_s55302"/>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xdr:col>
      <xdr:colOff>38100</xdr:colOff>
      <xdr:row>54</xdr:row>
      <xdr:rowOff>123825</xdr:rowOff>
    </xdr:from>
    <xdr:to>
      <xdr:col>5</xdr:col>
      <xdr:colOff>1581150</xdr:colOff>
      <xdr:row>69</xdr:row>
      <xdr:rowOff>152400</xdr:rowOff>
    </xdr:to>
    <xdr:graphicFrame macro="">
      <xdr:nvGraphicFramePr>
        <xdr:cNvPr id="45072"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50800</xdr:colOff>
      <xdr:row>20</xdr:row>
      <xdr:rowOff>0</xdr:rowOff>
    </xdr:from>
    <xdr:to>
      <xdr:col>2</xdr:col>
      <xdr:colOff>215900</xdr:colOff>
      <xdr:row>21</xdr:row>
      <xdr:rowOff>38100</xdr:rowOff>
    </xdr:to>
    <xdr:sp macro="" textlink="">
      <xdr:nvSpPr>
        <xdr:cNvPr id="45057" name="CheckBox2" hidden="1">
          <a:extLst>
            <a:ext uri="{63B3BB69-23CF-44E3-9099-C40C66FF867C}">
              <a14:compatExt xmlns:a14="http://schemas.microsoft.com/office/drawing/2010/main" spid="_x0000_s45057"/>
            </a:ext>
          </a:extLst>
        </xdr:cNvPr>
        <xdr:cNvSpPr/>
      </xdr:nvSpPr>
      <xdr:spPr>
        <a:xfrm>
          <a:off x="0" y="0"/>
          <a:ext cx="0" cy="0"/>
        </a:xfrm>
        <a:prstGeom prst="rect">
          <a:avLst/>
        </a:prstGeom>
      </xdr:spPr>
    </xdr:sp>
    <xdr:clientData/>
  </xdr:twoCellAnchor>
  <xdr:twoCellAnchor editAs="oneCell">
    <xdr:from>
      <xdr:col>2</xdr:col>
      <xdr:colOff>50800</xdr:colOff>
      <xdr:row>21</xdr:row>
      <xdr:rowOff>0</xdr:rowOff>
    </xdr:from>
    <xdr:to>
      <xdr:col>2</xdr:col>
      <xdr:colOff>215900</xdr:colOff>
      <xdr:row>22</xdr:row>
      <xdr:rowOff>38100</xdr:rowOff>
    </xdr:to>
    <xdr:sp macro="" textlink="">
      <xdr:nvSpPr>
        <xdr:cNvPr id="45058" name="CheckBox3" hidden="1">
          <a:extLst>
            <a:ext uri="{63B3BB69-23CF-44E3-9099-C40C66FF867C}">
              <a14:compatExt xmlns:a14="http://schemas.microsoft.com/office/drawing/2010/main" spid="_x0000_s45058"/>
            </a:ext>
          </a:extLst>
        </xdr:cNvPr>
        <xdr:cNvSpPr/>
      </xdr:nvSpPr>
      <xdr:spPr>
        <a:xfrm>
          <a:off x="0" y="0"/>
          <a:ext cx="0" cy="0"/>
        </a:xfrm>
        <a:prstGeom prst="rect">
          <a:avLst/>
        </a:prstGeom>
      </xdr:spPr>
    </xdr:sp>
    <xdr:clientData/>
  </xdr:twoCellAnchor>
  <xdr:twoCellAnchor editAs="oneCell">
    <xdr:from>
      <xdr:col>2</xdr:col>
      <xdr:colOff>50800</xdr:colOff>
      <xdr:row>22</xdr:row>
      <xdr:rowOff>0</xdr:rowOff>
    </xdr:from>
    <xdr:to>
      <xdr:col>2</xdr:col>
      <xdr:colOff>215900</xdr:colOff>
      <xdr:row>23</xdr:row>
      <xdr:rowOff>38100</xdr:rowOff>
    </xdr:to>
    <xdr:sp macro="" textlink="">
      <xdr:nvSpPr>
        <xdr:cNvPr id="45059" name="CheckBox4" hidden="1">
          <a:extLst>
            <a:ext uri="{63B3BB69-23CF-44E3-9099-C40C66FF867C}">
              <a14:compatExt xmlns:a14="http://schemas.microsoft.com/office/drawing/2010/main" spid="_x0000_s45059"/>
            </a:ext>
          </a:extLst>
        </xdr:cNvPr>
        <xdr:cNvSpPr/>
      </xdr:nvSpPr>
      <xdr:spPr>
        <a:xfrm>
          <a:off x="0" y="0"/>
          <a:ext cx="0" cy="0"/>
        </a:xfrm>
        <a:prstGeom prst="rect">
          <a:avLst/>
        </a:prstGeom>
      </xdr:spPr>
    </xdr:sp>
    <xdr:clientData/>
  </xdr:twoCellAnchor>
  <xdr:twoCellAnchor editAs="oneCell">
    <xdr:from>
      <xdr:col>2</xdr:col>
      <xdr:colOff>50800</xdr:colOff>
      <xdr:row>23</xdr:row>
      <xdr:rowOff>0</xdr:rowOff>
    </xdr:from>
    <xdr:to>
      <xdr:col>2</xdr:col>
      <xdr:colOff>215900</xdr:colOff>
      <xdr:row>24</xdr:row>
      <xdr:rowOff>38100</xdr:rowOff>
    </xdr:to>
    <xdr:sp macro="" textlink="">
      <xdr:nvSpPr>
        <xdr:cNvPr id="45060" name="CheckBox5" hidden="1">
          <a:extLst>
            <a:ext uri="{63B3BB69-23CF-44E3-9099-C40C66FF867C}">
              <a14:compatExt xmlns:a14="http://schemas.microsoft.com/office/drawing/2010/main" spid="_x0000_s45060"/>
            </a:ext>
          </a:extLst>
        </xdr:cNvPr>
        <xdr:cNvSpPr/>
      </xdr:nvSpPr>
      <xdr:spPr>
        <a:xfrm>
          <a:off x="0" y="0"/>
          <a:ext cx="0" cy="0"/>
        </a:xfrm>
        <a:prstGeom prst="rect">
          <a:avLst/>
        </a:prstGeom>
      </xdr:spPr>
    </xdr:sp>
    <xdr:clientData/>
  </xdr:twoCellAnchor>
  <xdr:twoCellAnchor editAs="oneCell">
    <xdr:from>
      <xdr:col>2</xdr:col>
      <xdr:colOff>50800</xdr:colOff>
      <xdr:row>24</xdr:row>
      <xdr:rowOff>0</xdr:rowOff>
    </xdr:from>
    <xdr:to>
      <xdr:col>2</xdr:col>
      <xdr:colOff>215900</xdr:colOff>
      <xdr:row>25</xdr:row>
      <xdr:rowOff>38100</xdr:rowOff>
    </xdr:to>
    <xdr:sp macro="" textlink="">
      <xdr:nvSpPr>
        <xdr:cNvPr id="45061" name="CheckBox6" hidden="1">
          <a:extLst>
            <a:ext uri="{63B3BB69-23CF-44E3-9099-C40C66FF867C}">
              <a14:compatExt xmlns:a14="http://schemas.microsoft.com/office/drawing/2010/main" spid="_x0000_s45061"/>
            </a:ext>
          </a:extLst>
        </xdr:cNvPr>
        <xdr:cNvSpPr/>
      </xdr:nvSpPr>
      <xdr:spPr>
        <a:xfrm>
          <a:off x="0" y="0"/>
          <a:ext cx="0" cy="0"/>
        </a:xfrm>
        <a:prstGeom prst="rect">
          <a:avLst/>
        </a:prstGeom>
      </xdr:spPr>
    </xdr:sp>
    <xdr:clientData/>
  </xdr:twoCellAnchor>
  <xdr:twoCellAnchor editAs="oneCell">
    <xdr:from>
      <xdr:col>1</xdr:col>
      <xdr:colOff>25400</xdr:colOff>
      <xdr:row>25</xdr:row>
      <xdr:rowOff>38100</xdr:rowOff>
    </xdr:from>
    <xdr:to>
      <xdr:col>2</xdr:col>
      <xdr:colOff>152400</xdr:colOff>
      <xdr:row>26</xdr:row>
      <xdr:rowOff>101600</xdr:rowOff>
    </xdr:to>
    <xdr:sp macro="" textlink="">
      <xdr:nvSpPr>
        <xdr:cNvPr id="45062" name="EvaluateandReset" hidden="1">
          <a:extLst>
            <a:ext uri="{63B3BB69-23CF-44E3-9099-C40C66FF867C}">
              <a14:compatExt xmlns:a14="http://schemas.microsoft.com/office/drawing/2010/main" spid="_x0000_s45062"/>
            </a:ext>
          </a:extLst>
        </xdr:cNvPr>
        <xdr:cNvSpPr/>
      </xdr:nvSpPr>
      <xdr:spPr>
        <a:xfrm>
          <a:off x="0" y="0"/>
          <a:ext cx="0" cy="0"/>
        </a:xfrm>
        <a:prstGeom prst="rect">
          <a:avLst/>
        </a:prstGeom>
      </xdr:spPr>
    </xdr:sp>
    <xdr:clientData/>
  </xdr:twoCellAnchor>
  <xdr:twoCellAnchor editAs="oneCell">
    <xdr:from>
      <xdr:col>2</xdr:col>
      <xdr:colOff>50800</xdr:colOff>
      <xdr:row>36</xdr:row>
      <xdr:rowOff>0</xdr:rowOff>
    </xdr:from>
    <xdr:to>
      <xdr:col>2</xdr:col>
      <xdr:colOff>215900</xdr:colOff>
      <xdr:row>37</xdr:row>
      <xdr:rowOff>38100</xdr:rowOff>
    </xdr:to>
    <xdr:sp macro="" textlink="">
      <xdr:nvSpPr>
        <xdr:cNvPr id="45063" name="CheckBox1" hidden="1">
          <a:extLst>
            <a:ext uri="{63B3BB69-23CF-44E3-9099-C40C66FF867C}">
              <a14:compatExt xmlns:a14="http://schemas.microsoft.com/office/drawing/2010/main" spid="_x0000_s45063"/>
            </a:ext>
          </a:extLst>
        </xdr:cNvPr>
        <xdr:cNvSpPr/>
      </xdr:nvSpPr>
      <xdr:spPr>
        <a:xfrm>
          <a:off x="0" y="0"/>
          <a:ext cx="0" cy="0"/>
        </a:xfrm>
        <a:prstGeom prst="rect">
          <a:avLst/>
        </a:prstGeom>
      </xdr:spPr>
    </xdr:sp>
    <xdr:clientData/>
  </xdr:twoCellAnchor>
  <xdr:twoCellAnchor editAs="oneCell">
    <xdr:from>
      <xdr:col>2</xdr:col>
      <xdr:colOff>50800</xdr:colOff>
      <xdr:row>37</xdr:row>
      <xdr:rowOff>0</xdr:rowOff>
    </xdr:from>
    <xdr:to>
      <xdr:col>2</xdr:col>
      <xdr:colOff>215900</xdr:colOff>
      <xdr:row>38</xdr:row>
      <xdr:rowOff>38100</xdr:rowOff>
    </xdr:to>
    <xdr:sp macro="" textlink="">
      <xdr:nvSpPr>
        <xdr:cNvPr id="45064" name="CheckBox7" hidden="1">
          <a:extLst>
            <a:ext uri="{63B3BB69-23CF-44E3-9099-C40C66FF867C}">
              <a14:compatExt xmlns:a14="http://schemas.microsoft.com/office/drawing/2010/main" spid="_x0000_s45064"/>
            </a:ext>
          </a:extLst>
        </xdr:cNvPr>
        <xdr:cNvSpPr/>
      </xdr:nvSpPr>
      <xdr:spPr>
        <a:xfrm>
          <a:off x="0" y="0"/>
          <a:ext cx="0" cy="0"/>
        </a:xfrm>
        <a:prstGeom prst="rect">
          <a:avLst/>
        </a:prstGeom>
      </xdr:spPr>
    </xdr:sp>
    <xdr:clientData/>
  </xdr:twoCellAnchor>
  <xdr:twoCellAnchor editAs="oneCell">
    <xdr:from>
      <xdr:col>2</xdr:col>
      <xdr:colOff>50800</xdr:colOff>
      <xdr:row>38</xdr:row>
      <xdr:rowOff>0</xdr:rowOff>
    </xdr:from>
    <xdr:to>
      <xdr:col>2</xdr:col>
      <xdr:colOff>215900</xdr:colOff>
      <xdr:row>39</xdr:row>
      <xdr:rowOff>38100</xdr:rowOff>
    </xdr:to>
    <xdr:sp macro="" textlink="">
      <xdr:nvSpPr>
        <xdr:cNvPr id="45065" name="CheckBox8" hidden="1">
          <a:extLst>
            <a:ext uri="{63B3BB69-23CF-44E3-9099-C40C66FF867C}">
              <a14:compatExt xmlns:a14="http://schemas.microsoft.com/office/drawing/2010/main" spid="_x0000_s45065"/>
            </a:ext>
          </a:extLst>
        </xdr:cNvPr>
        <xdr:cNvSpPr/>
      </xdr:nvSpPr>
      <xdr:spPr>
        <a:xfrm>
          <a:off x="0" y="0"/>
          <a:ext cx="0" cy="0"/>
        </a:xfrm>
        <a:prstGeom prst="rect">
          <a:avLst/>
        </a:prstGeom>
      </xdr:spPr>
    </xdr:sp>
    <xdr:clientData/>
  </xdr:twoCellAnchor>
  <xdr:twoCellAnchor editAs="oneCell">
    <xdr:from>
      <xdr:col>2</xdr:col>
      <xdr:colOff>50800</xdr:colOff>
      <xdr:row>39</xdr:row>
      <xdr:rowOff>0</xdr:rowOff>
    </xdr:from>
    <xdr:to>
      <xdr:col>2</xdr:col>
      <xdr:colOff>215900</xdr:colOff>
      <xdr:row>40</xdr:row>
      <xdr:rowOff>38100</xdr:rowOff>
    </xdr:to>
    <xdr:sp macro="" textlink="">
      <xdr:nvSpPr>
        <xdr:cNvPr id="45066" name="CheckBox9" hidden="1">
          <a:extLst>
            <a:ext uri="{63B3BB69-23CF-44E3-9099-C40C66FF867C}">
              <a14:compatExt xmlns:a14="http://schemas.microsoft.com/office/drawing/2010/main" spid="_x0000_s45066"/>
            </a:ext>
          </a:extLst>
        </xdr:cNvPr>
        <xdr:cNvSpPr/>
      </xdr:nvSpPr>
      <xdr:spPr>
        <a:xfrm>
          <a:off x="0" y="0"/>
          <a:ext cx="0" cy="0"/>
        </a:xfrm>
        <a:prstGeom prst="rect">
          <a:avLst/>
        </a:prstGeom>
      </xdr:spPr>
    </xdr:sp>
    <xdr:clientData/>
  </xdr:twoCellAnchor>
  <xdr:twoCellAnchor editAs="oneCell">
    <xdr:from>
      <xdr:col>2</xdr:col>
      <xdr:colOff>50800</xdr:colOff>
      <xdr:row>40</xdr:row>
      <xdr:rowOff>0</xdr:rowOff>
    </xdr:from>
    <xdr:to>
      <xdr:col>2</xdr:col>
      <xdr:colOff>215900</xdr:colOff>
      <xdr:row>41</xdr:row>
      <xdr:rowOff>38100</xdr:rowOff>
    </xdr:to>
    <xdr:sp macro="" textlink="">
      <xdr:nvSpPr>
        <xdr:cNvPr id="45067" name="CheckBox10" hidden="1">
          <a:extLst>
            <a:ext uri="{63B3BB69-23CF-44E3-9099-C40C66FF867C}">
              <a14:compatExt xmlns:a14="http://schemas.microsoft.com/office/drawing/2010/main" spid="_x0000_s45067"/>
            </a:ext>
          </a:extLst>
        </xdr:cNvPr>
        <xdr:cNvSpPr/>
      </xdr:nvSpPr>
      <xdr:spPr>
        <a:xfrm>
          <a:off x="0" y="0"/>
          <a:ext cx="0" cy="0"/>
        </a:xfrm>
        <a:prstGeom prst="rect">
          <a:avLst/>
        </a:prstGeom>
      </xdr:spPr>
    </xdr:sp>
    <xdr:clientData/>
  </xdr:twoCellAnchor>
  <xdr:twoCellAnchor editAs="oneCell">
    <xdr:from>
      <xdr:col>1</xdr:col>
      <xdr:colOff>0</xdr:colOff>
      <xdr:row>41</xdr:row>
      <xdr:rowOff>12700</xdr:rowOff>
    </xdr:from>
    <xdr:to>
      <xdr:col>2</xdr:col>
      <xdr:colOff>139700</xdr:colOff>
      <xdr:row>42</xdr:row>
      <xdr:rowOff>101600</xdr:rowOff>
    </xdr:to>
    <xdr:sp macro="" textlink="">
      <xdr:nvSpPr>
        <xdr:cNvPr id="45068" name="ToggleButton2" hidden="1">
          <a:extLst>
            <a:ext uri="{63B3BB69-23CF-44E3-9099-C40C66FF867C}">
              <a14:compatExt xmlns:a14="http://schemas.microsoft.com/office/drawing/2010/main" spid="_x0000_s45068"/>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5</xdr:col>
          <xdr:colOff>152400</xdr:colOff>
          <xdr:row>28</xdr:row>
          <xdr:rowOff>0</xdr:rowOff>
        </xdr:from>
        <xdr:to>
          <xdr:col>5</xdr:col>
          <xdr:colOff>469900</xdr:colOff>
          <xdr:row>29</xdr:row>
          <xdr:rowOff>25400</xdr:rowOff>
        </xdr:to>
        <xdr:sp macro="" textlink="">
          <xdr:nvSpPr>
            <xdr:cNvPr id="45069" name="Drop Down 13" hidden="1">
              <a:extLst>
                <a:ext uri="{63B3BB69-23CF-44E3-9099-C40C66FF867C}">
                  <a14:compatExt spid="_x0000_s45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43</xdr:row>
          <xdr:rowOff>101600</xdr:rowOff>
        </xdr:from>
        <xdr:to>
          <xdr:col>5</xdr:col>
          <xdr:colOff>482600</xdr:colOff>
          <xdr:row>45</xdr:row>
          <xdr:rowOff>25400</xdr:rowOff>
        </xdr:to>
        <xdr:sp macro="" textlink="">
          <xdr:nvSpPr>
            <xdr:cNvPr id="45070" name="Drop Down 14" hidden="1">
              <a:extLst>
                <a:ext uri="{63B3BB69-23CF-44E3-9099-C40C66FF867C}">
                  <a14:compatExt spid="_x0000_s45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12700</xdr:rowOff>
        </xdr:from>
        <xdr:to>
          <xdr:col>6</xdr:col>
          <xdr:colOff>292100</xdr:colOff>
          <xdr:row>49</xdr:row>
          <xdr:rowOff>38100</xdr:rowOff>
        </xdr:to>
        <xdr:sp macro="" textlink="">
          <xdr:nvSpPr>
            <xdr:cNvPr id="45071" name="Drop Down 15" hidden="1">
              <a:extLst>
                <a:ext uri="{63B3BB69-23CF-44E3-9099-C40C66FF867C}">
                  <a14:compatExt spid="_x0000_s45071"/>
                </a:ext>
              </a:extLst>
            </xdr:cNvPr>
            <xdr:cNvSpPr/>
          </xdr:nvSpPr>
          <xdr:spPr>
            <a:xfrm>
              <a:off x="0" y="0"/>
              <a:ext cx="0" cy="0"/>
            </a:xfrm>
            <a:prstGeom prst="rect">
              <a:avLst/>
            </a:prstGeom>
          </xdr:spPr>
        </xdr:sp>
        <xdr:clientData/>
      </xdr:twoCellAnchor>
    </mc:Choice>
    <mc:Fallback/>
  </mc:AlternateContent>
  <xdr:twoCellAnchor editAs="oneCell">
    <xdr:from>
      <xdr:col>7</xdr:col>
      <xdr:colOff>0</xdr:colOff>
      <xdr:row>57</xdr:row>
      <xdr:rowOff>0</xdr:rowOff>
    </xdr:from>
    <xdr:to>
      <xdr:col>8</xdr:col>
      <xdr:colOff>12700</xdr:colOff>
      <xdr:row>58</xdr:row>
      <xdr:rowOff>0</xdr:rowOff>
    </xdr:to>
    <xdr:sp macro="" textlink="">
      <xdr:nvSpPr>
        <xdr:cNvPr id="45073" name="SpinButton1" hidden="1">
          <a:extLst>
            <a:ext uri="{63B3BB69-23CF-44E3-9099-C40C66FF867C}">
              <a14:compatExt xmlns:a14="http://schemas.microsoft.com/office/drawing/2010/main" spid="_x0000_s45073"/>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4</xdr:col>
          <xdr:colOff>127000</xdr:colOff>
          <xdr:row>75</xdr:row>
          <xdr:rowOff>12700</xdr:rowOff>
        </xdr:from>
        <xdr:to>
          <xdr:col>5</xdr:col>
          <xdr:colOff>50800</xdr:colOff>
          <xdr:row>76</xdr:row>
          <xdr:rowOff>38100</xdr:rowOff>
        </xdr:to>
        <xdr:sp macro="" textlink="">
          <xdr:nvSpPr>
            <xdr:cNvPr id="45074" name="Drop Down 18" hidden="1">
              <a:extLst>
                <a:ext uri="{63B3BB69-23CF-44E3-9099-C40C66FF867C}">
                  <a14:compatExt spid="_x0000_s45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79</xdr:row>
          <xdr:rowOff>12700</xdr:rowOff>
        </xdr:from>
        <xdr:to>
          <xdr:col>1</xdr:col>
          <xdr:colOff>508000</xdr:colOff>
          <xdr:row>80</xdr:row>
          <xdr:rowOff>38100</xdr:rowOff>
        </xdr:to>
        <xdr:sp macro="" textlink="">
          <xdr:nvSpPr>
            <xdr:cNvPr id="45075" name="Drop Down 19" hidden="1">
              <a:extLst>
                <a:ext uri="{63B3BB69-23CF-44E3-9099-C40C66FF867C}">
                  <a14:compatExt spid="_x0000_s45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83</xdr:row>
          <xdr:rowOff>12700</xdr:rowOff>
        </xdr:from>
        <xdr:to>
          <xdr:col>1</xdr:col>
          <xdr:colOff>508000</xdr:colOff>
          <xdr:row>84</xdr:row>
          <xdr:rowOff>38100</xdr:rowOff>
        </xdr:to>
        <xdr:sp macro="" textlink="">
          <xdr:nvSpPr>
            <xdr:cNvPr id="45076" name="Drop Down 20" hidden="1">
              <a:extLst>
                <a:ext uri="{63B3BB69-23CF-44E3-9099-C40C66FF867C}">
                  <a14:compatExt spid="_x0000_s45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558800</xdr:colOff>
          <xdr:row>88</xdr:row>
          <xdr:rowOff>38100</xdr:rowOff>
        </xdr:from>
        <xdr:to>
          <xdr:col>5</xdr:col>
          <xdr:colOff>228600</xdr:colOff>
          <xdr:row>89</xdr:row>
          <xdr:rowOff>63500</xdr:rowOff>
        </xdr:to>
        <xdr:sp macro="" textlink="">
          <xdr:nvSpPr>
            <xdr:cNvPr id="45077" name="Drop Down 21" hidden="1">
              <a:extLst>
                <a:ext uri="{63B3BB69-23CF-44E3-9099-C40C66FF867C}">
                  <a14:compatExt spid="_x0000_s45077"/>
                </a:ext>
              </a:extLst>
            </xdr:cNvPr>
            <xdr:cNvSpPr/>
          </xdr:nvSpPr>
          <xdr:spPr>
            <a:xfrm>
              <a:off x="0" y="0"/>
              <a:ext cx="0" cy="0"/>
            </a:xfrm>
            <a:prstGeom prst="rect">
              <a:avLst/>
            </a:prstGeom>
          </xdr:spPr>
        </xdr:sp>
        <xdr:clientData/>
      </xdr:twoCellAnchor>
    </mc:Choice>
    <mc:Fallback/>
  </mc:AlternateContent>
  <xdr:twoCellAnchor editAs="oneCell">
    <xdr:from>
      <xdr:col>2</xdr:col>
      <xdr:colOff>50800</xdr:colOff>
      <xdr:row>20</xdr:row>
      <xdr:rowOff>0</xdr:rowOff>
    </xdr:from>
    <xdr:to>
      <xdr:col>2</xdr:col>
      <xdr:colOff>215900</xdr:colOff>
      <xdr:row>21</xdr:row>
      <xdr:rowOff>38100</xdr:rowOff>
    </xdr:to>
    <xdr:pic>
      <xdr:nvPicPr>
        <xdr:cNvPr id="2" name="CheckBox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8500" y="30480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21</xdr:row>
      <xdr:rowOff>0</xdr:rowOff>
    </xdr:from>
    <xdr:to>
      <xdr:col>2</xdr:col>
      <xdr:colOff>215900</xdr:colOff>
      <xdr:row>22</xdr:row>
      <xdr:rowOff>38100</xdr:rowOff>
    </xdr:to>
    <xdr:pic>
      <xdr:nvPicPr>
        <xdr:cNvPr id="3" name="CheckBox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8500" y="32004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22</xdr:row>
      <xdr:rowOff>0</xdr:rowOff>
    </xdr:from>
    <xdr:to>
      <xdr:col>2</xdr:col>
      <xdr:colOff>215900</xdr:colOff>
      <xdr:row>23</xdr:row>
      <xdr:rowOff>38100</xdr:rowOff>
    </xdr:to>
    <xdr:pic>
      <xdr:nvPicPr>
        <xdr:cNvPr id="4" name="CheckBox4"/>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8500" y="33528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23</xdr:row>
      <xdr:rowOff>0</xdr:rowOff>
    </xdr:from>
    <xdr:to>
      <xdr:col>2</xdr:col>
      <xdr:colOff>215900</xdr:colOff>
      <xdr:row>24</xdr:row>
      <xdr:rowOff>38100</xdr:rowOff>
    </xdr:to>
    <xdr:pic>
      <xdr:nvPicPr>
        <xdr:cNvPr id="5" name="CheckBox5"/>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8500" y="35052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24</xdr:row>
      <xdr:rowOff>0</xdr:rowOff>
    </xdr:from>
    <xdr:to>
      <xdr:col>2</xdr:col>
      <xdr:colOff>215900</xdr:colOff>
      <xdr:row>25</xdr:row>
      <xdr:rowOff>38100</xdr:rowOff>
    </xdr:to>
    <xdr:pic>
      <xdr:nvPicPr>
        <xdr:cNvPr id="6" name="CheckBox6"/>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8500" y="36576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xdr:col>
      <xdr:colOff>25400</xdr:colOff>
      <xdr:row>25</xdr:row>
      <xdr:rowOff>38100</xdr:rowOff>
    </xdr:from>
    <xdr:to>
      <xdr:col>2</xdr:col>
      <xdr:colOff>152400</xdr:colOff>
      <xdr:row>26</xdr:row>
      <xdr:rowOff>101600</xdr:rowOff>
    </xdr:to>
    <xdr:pic>
      <xdr:nvPicPr>
        <xdr:cNvPr id="7" name="EvaluateandReset"/>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98500" y="3848100"/>
          <a:ext cx="13716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36</xdr:row>
      <xdr:rowOff>0</xdr:rowOff>
    </xdr:from>
    <xdr:to>
      <xdr:col>2</xdr:col>
      <xdr:colOff>215900</xdr:colOff>
      <xdr:row>37</xdr:row>
      <xdr:rowOff>38100</xdr:rowOff>
    </xdr:to>
    <xdr:pic>
      <xdr:nvPicPr>
        <xdr:cNvPr id="8" name="CheckBox1"/>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68500" y="54864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37</xdr:row>
      <xdr:rowOff>0</xdr:rowOff>
    </xdr:from>
    <xdr:to>
      <xdr:col>2</xdr:col>
      <xdr:colOff>215900</xdr:colOff>
      <xdr:row>38</xdr:row>
      <xdr:rowOff>38100</xdr:rowOff>
    </xdr:to>
    <xdr:pic>
      <xdr:nvPicPr>
        <xdr:cNvPr id="9" name="CheckBox7"/>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68500" y="56388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38</xdr:row>
      <xdr:rowOff>0</xdr:rowOff>
    </xdr:from>
    <xdr:to>
      <xdr:col>2</xdr:col>
      <xdr:colOff>215900</xdr:colOff>
      <xdr:row>39</xdr:row>
      <xdr:rowOff>38100</xdr:rowOff>
    </xdr:to>
    <xdr:pic>
      <xdr:nvPicPr>
        <xdr:cNvPr id="10" name="CheckBox8"/>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968500" y="57912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39</xdr:row>
      <xdr:rowOff>0</xdr:rowOff>
    </xdr:from>
    <xdr:to>
      <xdr:col>2</xdr:col>
      <xdr:colOff>215900</xdr:colOff>
      <xdr:row>40</xdr:row>
      <xdr:rowOff>38100</xdr:rowOff>
    </xdr:to>
    <xdr:pic>
      <xdr:nvPicPr>
        <xdr:cNvPr id="11" name="CheckBox9"/>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68500" y="59436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40</xdr:row>
      <xdr:rowOff>0</xdr:rowOff>
    </xdr:from>
    <xdr:to>
      <xdr:col>2</xdr:col>
      <xdr:colOff>215900</xdr:colOff>
      <xdr:row>41</xdr:row>
      <xdr:rowOff>38100</xdr:rowOff>
    </xdr:to>
    <xdr:pic>
      <xdr:nvPicPr>
        <xdr:cNvPr id="12" name="CheckBox10"/>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68500" y="60960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xdr:col>
      <xdr:colOff>0</xdr:colOff>
      <xdr:row>41</xdr:row>
      <xdr:rowOff>12700</xdr:rowOff>
    </xdr:from>
    <xdr:to>
      <xdr:col>2</xdr:col>
      <xdr:colOff>139700</xdr:colOff>
      <xdr:row>42</xdr:row>
      <xdr:rowOff>101600</xdr:rowOff>
    </xdr:to>
    <xdr:pic>
      <xdr:nvPicPr>
        <xdr:cNvPr id="13" name="ToggleButton2"/>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73100" y="6261100"/>
          <a:ext cx="1384300" cy="241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0</xdr:colOff>
      <xdr:row>57</xdr:row>
      <xdr:rowOff>0</xdr:rowOff>
    </xdr:from>
    <xdr:to>
      <xdr:col>8</xdr:col>
      <xdr:colOff>12700</xdr:colOff>
      <xdr:row>58</xdr:row>
      <xdr:rowOff>0</xdr:rowOff>
    </xdr:to>
    <xdr:pic>
      <xdr:nvPicPr>
        <xdr:cNvPr id="14" name="SpinButton1"/>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061200" y="8686800"/>
          <a:ext cx="6858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54</xdr:row>
      <xdr:rowOff>123825</xdr:rowOff>
    </xdr:from>
    <xdr:to>
      <xdr:col>5</xdr:col>
      <xdr:colOff>1581150</xdr:colOff>
      <xdr:row>69</xdr:row>
      <xdr:rowOff>152400</xdr:rowOff>
    </xdr:to>
    <xdr:graphicFrame macro="">
      <xdr:nvGraphicFramePr>
        <xdr:cNvPr id="46096"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228600</xdr:colOff>
          <xdr:row>27</xdr:row>
          <xdr:rowOff>165100</xdr:rowOff>
        </xdr:from>
        <xdr:to>
          <xdr:col>5</xdr:col>
          <xdr:colOff>1168400</xdr:colOff>
          <xdr:row>29</xdr:row>
          <xdr:rowOff>38100</xdr:rowOff>
        </xdr:to>
        <xdr:sp macro="" textlink="">
          <xdr:nvSpPr>
            <xdr:cNvPr id="46093" name="Drop Down 13" hidden="1">
              <a:extLst>
                <a:ext uri="{63B3BB69-23CF-44E3-9099-C40C66FF867C}">
                  <a14:compatExt spid="_x0000_s4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43</xdr:row>
          <xdr:rowOff>139700</xdr:rowOff>
        </xdr:from>
        <xdr:to>
          <xdr:col>5</xdr:col>
          <xdr:colOff>1676400</xdr:colOff>
          <xdr:row>45</xdr:row>
          <xdr:rowOff>38100</xdr:rowOff>
        </xdr:to>
        <xdr:sp macro="" textlink="">
          <xdr:nvSpPr>
            <xdr:cNvPr id="46094" name="Drop Down 14" hidden="1">
              <a:extLst>
                <a:ext uri="{63B3BB69-23CF-44E3-9099-C40C66FF867C}">
                  <a14:compatExt spid="_x0000_s4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596900</xdr:colOff>
          <xdr:row>49</xdr:row>
          <xdr:rowOff>76200</xdr:rowOff>
        </xdr:from>
        <xdr:to>
          <xdr:col>5</xdr:col>
          <xdr:colOff>215900</xdr:colOff>
          <xdr:row>50</xdr:row>
          <xdr:rowOff>127000</xdr:rowOff>
        </xdr:to>
        <xdr:sp macro="" textlink="">
          <xdr:nvSpPr>
            <xdr:cNvPr id="46095" name="Drop Down 15" hidden="1">
              <a:extLst>
                <a:ext uri="{63B3BB69-23CF-44E3-9099-C40C66FF867C}">
                  <a14:compatExt spid="_x0000_s46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5</xdr:col>
          <xdr:colOff>63500</xdr:colOff>
          <xdr:row>76</xdr:row>
          <xdr:rowOff>25400</xdr:rowOff>
        </xdr:to>
        <xdr:sp macro="" textlink="">
          <xdr:nvSpPr>
            <xdr:cNvPr id="46098" name="Drop Down 18" hidden="1">
              <a:extLst>
                <a:ext uri="{63B3BB69-23CF-44E3-9099-C40C66FF867C}">
                  <a14:compatExt spid="_x0000_s46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79</xdr:row>
          <xdr:rowOff>12700</xdr:rowOff>
        </xdr:from>
        <xdr:to>
          <xdr:col>1</xdr:col>
          <xdr:colOff>508000</xdr:colOff>
          <xdr:row>80</xdr:row>
          <xdr:rowOff>38100</xdr:rowOff>
        </xdr:to>
        <xdr:sp macro="" textlink="">
          <xdr:nvSpPr>
            <xdr:cNvPr id="46099" name="Drop Down 19" hidden="1">
              <a:extLst>
                <a:ext uri="{63B3BB69-23CF-44E3-9099-C40C66FF867C}">
                  <a14:compatExt spid="_x0000_s46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83</xdr:row>
          <xdr:rowOff>12700</xdr:rowOff>
        </xdr:from>
        <xdr:to>
          <xdr:col>2</xdr:col>
          <xdr:colOff>12700</xdr:colOff>
          <xdr:row>84</xdr:row>
          <xdr:rowOff>50800</xdr:rowOff>
        </xdr:to>
        <xdr:sp macro="" textlink="">
          <xdr:nvSpPr>
            <xdr:cNvPr id="46100" name="Drop Down 20" hidden="1">
              <a:extLst>
                <a:ext uri="{63B3BB69-23CF-44E3-9099-C40C66FF867C}">
                  <a14:compatExt spid="_x0000_s46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292100</xdr:colOff>
          <xdr:row>88</xdr:row>
          <xdr:rowOff>38100</xdr:rowOff>
        </xdr:from>
        <xdr:to>
          <xdr:col>5</xdr:col>
          <xdr:colOff>228600</xdr:colOff>
          <xdr:row>89</xdr:row>
          <xdr:rowOff>76200</xdr:rowOff>
        </xdr:to>
        <xdr:sp macro="" textlink="">
          <xdr:nvSpPr>
            <xdr:cNvPr id="46101" name="Drop Down 21" hidden="1">
              <a:extLst>
                <a:ext uri="{63B3BB69-23CF-44E3-9099-C40C66FF867C}">
                  <a14:compatExt spid="_x0000_s46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8</xdr:row>
          <xdr:rowOff>25400</xdr:rowOff>
        </xdr:from>
        <xdr:to>
          <xdr:col>7</xdr:col>
          <xdr:colOff>342900</xdr:colOff>
          <xdr:row>12</xdr:row>
          <xdr:rowOff>76200</xdr:rowOff>
        </xdr:to>
        <xdr:sp macro="" textlink="">
          <xdr:nvSpPr>
            <xdr:cNvPr id="46103" name="Object 23" hidden="1">
              <a:extLst>
                <a:ext uri="{63B3BB69-23CF-44E3-9099-C40C66FF867C}">
                  <a14:compatExt spid="_x0000_s461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711200</xdr:colOff>
          <xdr:row>20</xdr:row>
          <xdr:rowOff>25400</xdr:rowOff>
        </xdr:from>
        <xdr:to>
          <xdr:col>1</xdr:col>
          <xdr:colOff>889000</xdr:colOff>
          <xdr:row>20</xdr:row>
          <xdr:rowOff>203200</xdr:rowOff>
        </xdr:to>
        <xdr:sp macro="" textlink="">
          <xdr:nvSpPr>
            <xdr:cNvPr id="46104" name="Spinner 24" hidden="1">
              <a:extLst>
                <a:ext uri="{63B3BB69-23CF-44E3-9099-C40C66FF867C}">
                  <a14:compatExt spid="_x0000_s46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711200</xdr:colOff>
          <xdr:row>21</xdr:row>
          <xdr:rowOff>25400</xdr:rowOff>
        </xdr:from>
        <xdr:to>
          <xdr:col>1</xdr:col>
          <xdr:colOff>889000</xdr:colOff>
          <xdr:row>21</xdr:row>
          <xdr:rowOff>203200</xdr:rowOff>
        </xdr:to>
        <xdr:sp macro="" textlink="">
          <xdr:nvSpPr>
            <xdr:cNvPr id="46105" name="Spinner 25" hidden="1">
              <a:extLst>
                <a:ext uri="{63B3BB69-23CF-44E3-9099-C40C66FF867C}">
                  <a14:compatExt spid="_x0000_s46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711200</xdr:colOff>
          <xdr:row>22</xdr:row>
          <xdr:rowOff>25400</xdr:rowOff>
        </xdr:from>
        <xdr:to>
          <xdr:col>1</xdr:col>
          <xdr:colOff>889000</xdr:colOff>
          <xdr:row>22</xdr:row>
          <xdr:rowOff>203200</xdr:rowOff>
        </xdr:to>
        <xdr:sp macro="" textlink="">
          <xdr:nvSpPr>
            <xdr:cNvPr id="46106" name="Spinner 26" hidden="1">
              <a:extLst>
                <a:ext uri="{63B3BB69-23CF-44E3-9099-C40C66FF867C}">
                  <a14:compatExt spid="_x0000_s46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711200</xdr:colOff>
          <xdr:row>23</xdr:row>
          <xdr:rowOff>25400</xdr:rowOff>
        </xdr:from>
        <xdr:to>
          <xdr:col>1</xdr:col>
          <xdr:colOff>889000</xdr:colOff>
          <xdr:row>23</xdr:row>
          <xdr:rowOff>203200</xdr:rowOff>
        </xdr:to>
        <xdr:sp macro="" textlink="">
          <xdr:nvSpPr>
            <xdr:cNvPr id="46107" name="Spinner 27" hidden="1">
              <a:extLst>
                <a:ext uri="{63B3BB69-23CF-44E3-9099-C40C66FF867C}">
                  <a14:compatExt spid="_x0000_s46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711200</xdr:colOff>
          <xdr:row>24</xdr:row>
          <xdr:rowOff>25400</xdr:rowOff>
        </xdr:from>
        <xdr:to>
          <xdr:col>1</xdr:col>
          <xdr:colOff>889000</xdr:colOff>
          <xdr:row>24</xdr:row>
          <xdr:rowOff>203200</xdr:rowOff>
        </xdr:to>
        <xdr:sp macro="" textlink="">
          <xdr:nvSpPr>
            <xdr:cNvPr id="46108" name="Spinner 28" hidden="1">
              <a:extLst>
                <a:ext uri="{63B3BB69-23CF-44E3-9099-C40C66FF867C}">
                  <a14:compatExt spid="_x0000_s4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812800</xdr:colOff>
          <xdr:row>25</xdr:row>
          <xdr:rowOff>50800</xdr:rowOff>
        </xdr:from>
        <xdr:to>
          <xdr:col>1</xdr:col>
          <xdr:colOff>990600</xdr:colOff>
          <xdr:row>25</xdr:row>
          <xdr:rowOff>228600</xdr:rowOff>
        </xdr:to>
        <xdr:sp macro="" textlink="">
          <xdr:nvSpPr>
            <xdr:cNvPr id="46110" name="Spinner 30" hidden="1">
              <a:extLst>
                <a:ext uri="{63B3BB69-23CF-44E3-9099-C40C66FF867C}">
                  <a14:compatExt spid="_x0000_s46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711200</xdr:colOff>
          <xdr:row>36</xdr:row>
          <xdr:rowOff>25400</xdr:rowOff>
        </xdr:from>
        <xdr:to>
          <xdr:col>1</xdr:col>
          <xdr:colOff>889000</xdr:colOff>
          <xdr:row>36</xdr:row>
          <xdr:rowOff>203200</xdr:rowOff>
        </xdr:to>
        <xdr:sp macro="" textlink="">
          <xdr:nvSpPr>
            <xdr:cNvPr id="46112" name="Spinner 32" hidden="1">
              <a:extLst>
                <a:ext uri="{63B3BB69-23CF-44E3-9099-C40C66FF867C}">
                  <a14:compatExt spid="_x0000_s46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711200</xdr:colOff>
          <xdr:row>37</xdr:row>
          <xdr:rowOff>25400</xdr:rowOff>
        </xdr:from>
        <xdr:to>
          <xdr:col>1</xdr:col>
          <xdr:colOff>889000</xdr:colOff>
          <xdr:row>37</xdr:row>
          <xdr:rowOff>203200</xdr:rowOff>
        </xdr:to>
        <xdr:sp macro="" textlink="">
          <xdr:nvSpPr>
            <xdr:cNvPr id="46113" name="Spinner 33" hidden="1">
              <a:extLst>
                <a:ext uri="{63B3BB69-23CF-44E3-9099-C40C66FF867C}">
                  <a14:compatExt spid="_x0000_s4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711200</xdr:colOff>
          <xdr:row>38</xdr:row>
          <xdr:rowOff>25400</xdr:rowOff>
        </xdr:from>
        <xdr:to>
          <xdr:col>1</xdr:col>
          <xdr:colOff>889000</xdr:colOff>
          <xdr:row>38</xdr:row>
          <xdr:rowOff>203200</xdr:rowOff>
        </xdr:to>
        <xdr:sp macro="" textlink="">
          <xdr:nvSpPr>
            <xdr:cNvPr id="46114" name="Spinner 34" hidden="1">
              <a:extLst>
                <a:ext uri="{63B3BB69-23CF-44E3-9099-C40C66FF867C}">
                  <a14:compatExt spid="_x0000_s46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711200</xdr:colOff>
          <xdr:row>39</xdr:row>
          <xdr:rowOff>25400</xdr:rowOff>
        </xdr:from>
        <xdr:to>
          <xdr:col>1</xdr:col>
          <xdr:colOff>889000</xdr:colOff>
          <xdr:row>39</xdr:row>
          <xdr:rowOff>203200</xdr:rowOff>
        </xdr:to>
        <xdr:sp macro="" textlink="">
          <xdr:nvSpPr>
            <xdr:cNvPr id="46115" name="Spinner 35" hidden="1">
              <a:extLst>
                <a:ext uri="{63B3BB69-23CF-44E3-9099-C40C66FF867C}">
                  <a14:compatExt spid="_x0000_s46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711200</xdr:colOff>
          <xdr:row>40</xdr:row>
          <xdr:rowOff>25400</xdr:rowOff>
        </xdr:from>
        <xdr:to>
          <xdr:col>1</xdr:col>
          <xdr:colOff>889000</xdr:colOff>
          <xdr:row>40</xdr:row>
          <xdr:rowOff>203200</xdr:rowOff>
        </xdr:to>
        <xdr:sp macro="" textlink="">
          <xdr:nvSpPr>
            <xdr:cNvPr id="46116" name="Spinner 36" hidden="1">
              <a:extLst>
                <a:ext uri="{63B3BB69-23CF-44E3-9099-C40C66FF867C}">
                  <a14:compatExt spid="_x0000_s46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812800</xdr:colOff>
          <xdr:row>41</xdr:row>
          <xdr:rowOff>50800</xdr:rowOff>
        </xdr:from>
        <xdr:to>
          <xdr:col>1</xdr:col>
          <xdr:colOff>990600</xdr:colOff>
          <xdr:row>41</xdr:row>
          <xdr:rowOff>228600</xdr:rowOff>
        </xdr:to>
        <xdr:sp macro="" textlink="">
          <xdr:nvSpPr>
            <xdr:cNvPr id="46117" name="Spinner 37" hidden="1">
              <a:extLst>
                <a:ext uri="{63B3BB69-23CF-44E3-9099-C40C66FF867C}">
                  <a14:compatExt spid="_x0000_s46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241300</xdr:colOff>
          <xdr:row>59</xdr:row>
          <xdr:rowOff>25400</xdr:rowOff>
        </xdr:from>
        <xdr:to>
          <xdr:col>6</xdr:col>
          <xdr:colOff>444500</xdr:colOff>
          <xdr:row>60</xdr:row>
          <xdr:rowOff>50800</xdr:rowOff>
        </xdr:to>
        <xdr:sp macro="" textlink="">
          <xdr:nvSpPr>
            <xdr:cNvPr id="46118" name="Spinner 38" hidden="1">
              <a:extLst>
                <a:ext uri="{63B3BB69-23CF-44E3-9099-C40C66FF867C}">
                  <a14:compatExt spid="_x0000_s46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79</xdr:row>
          <xdr:rowOff>25400</xdr:rowOff>
        </xdr:from>
        <xdr:to>
          <xdr:col>2</xdr:col>
          <xdr:colOff>12700</xdr:colOff>
          <xdr:row>80</xdr:row>
          <xdr:rowOff>63500</xdr:rowOff>
        </xdr:to>
        <xdr:sp macro="" textlink="">
          <xdr:nvSpPr>
            <xdr:cNvPr id="46119" name="Drop Down 39" hidden="1">
              <a:extLst>
                <a:ext uri="{63B3BB69-23CF-44E3-9099-C40C66FF867C}">
                  <a14:compatExt spid="_x0000_s4611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38100</xdr:colOff>
      <xdr:row>54</xdr:row>
      <xdr:rowOff>123825</xdr:rowOff>
    </xdr:from>
    <xdr:to>
      <xdr:col>5</xdr:col>
      <xdr:colOff>1581150</xdr:colOff>
      <xdr:row>69</xdr:row>
      <xdr:rowOff>152400</xdr:rowOff>
    </xdr:to>
    <xdr:graphicFrame macro="">
      <xdr:nvGraphicFramePr>
        <xdr:cNvPr id="44061"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50800</xdr:colOff>
      <xdr:row>20</xdr:row>
      <xdr:rowOff>0</xdr:rowOff>
    </xdr:from>
    <xdr:to>
      <xdr:col>2</xdr:col>
      <xdr:colOff>215900</xdr:colOff>
      <xdr:row>21</xdr:row>
      <xdr:rowOff>38100</xdr:rowOff>
    </xdr:to>
    <xdr:sp macro="" textlink="">
      <xdr:nvSpPr>
        <xdr:cNvPr id="44035" name="CheckBox2" hidden="1">
          <a:extLst>
            <a:ext uri="{63B3BB69-23CF-44E3-9099-C40C66FF867C}">
              <a14:compatExt xmlns:a14="http://schemas.microsoft.com/office/drawing/2010/main" spid="_x0000_s44035"/>
            </a:ext>
          </a:extLst>
        </xdr:cNvPr>
        <xdr:cNvSpPr/>
      </xdr:nvSpPr>
      <xdr:spPr>
        <a:xfrm>
          <a:off x="0" y="0"/>
          <a:ext cx="0" cy="0"/>
        </a:xfrm>
        <a:prstGeom prst="rect">
          <a:avLst/>
        </a:prstGeom>
      </xdr:spPr>
    </xdr:sp>
    <xdr:clientData/>
  </xdr:twoCellAnchor>
  <xdr:twoCellAnchor editAs="oneCell">
    <xdr:from>
      <xdr:col>2</xdr:col>
      <xdr:colOff>50800</xdr:colOff>
      <xdr:row>21</xdr:row>
      <xdr:rowOff>0</xdr:rowOff>
    </xdr:from>
    <xdr:to>
      <xdr:col>2</xdr:col>
      <xdr:colOff>215900</xdr:colOff>
      <xdr:row>22</xdr:row>
      <xdr:rowOff>38100</xdr:rowOff>
    </xdr:to>
    <xdr:sp macro="" textlink="">
      <xdr:nvSpPr>
        <xdr:cNvPr id="44036" name="CheckBox3" hidden="1">
          <a:extLst>
            <a:ext uri="{63B3BB69-23CF-44E3-9099-C40C66FF867C}">
              <a14:compatExt xmlns:a14="http://schemas.microsoft.com/office/drawing/2010/main" spid="_x0000_s44036"/>
            </a:ext>
          </a:extLst>
        </xdr:cNvPr>
        <xdr:cNvSpPr/>
      </xdr:nvSpPr>
      <xdr:spPr>
        <a:xfrm>
          <a:off x="0" y="0"/>
          <a:ext cx="0" cy="0"/>
        </a:xfrm>
        <a:prstGeom prst="rect">
          <a:avLst/>
        </a:prstGeom>
      </xdr:spPr>
    </xdr:sp>
    <xdr:clientData/>
  </xdr:twoCellAnchor>
  <xdr:twoCellAnchor editAs="oneCell">
    <xdr:from>
      <xdr:col>2</xdr:col>
      <xdr:colOff>50800</xdr:colOff>
      <xdr:row>22</xdr:row>
      <xdr:rowOff>0</xdr:rowOff>
    </xdr:from>
    <xdr:to>
      <xdr:col>2</xdr:col>
      <xdr:colOff>215900</xdr:colOff>
      <xdr:row>23</xdr:row>
      <xdr:rowOff>38100</xdr:rowOff>
    </xdr:to>
    <xdr:sp macro="" textlink="">
      <xdr:nvSpPr>
        <xdr:cNvPr id="44037" name="CheckBox4" hidden="1">
          <a:extLst>
            <a:ext uri="{63B3BB69-23CF-44E3-9099-C40C66FF867C}">
              <a14:compatExt xmlns:a14="http://schemas.microsoft.com/office/drawing/2010/main" spid="_x0000_s44037"/>
            </a:ext>
          </a:extLst>
        </xdr:cNvPr>
        <xdr:cNvSpPr/>
      </xdr:nvSpPr>
      <xdr:spPr>
        <a:xfrm>
          <a:off x="0" y="0"/>
          <a:ext cx="0" cy="0"/>
        </a:xfrm>
        <a:prstGeom prst="rect">
          <a:avLst/>
        </a:prstGeom>
      </xdr:spPr>
    </xdr:sp>
    <xdr:clientData/>
  </xdr:twoCellAnchor>
  <xdr:twoCellAnchor editAs="oneCell">
    <xdr:from>
      <xdr:col>2</xdr:col>
      <xdr:colOff>50800</xdr:colOff>
      <xdr:row>23</xdr:row>
      <xdr:rowOff>0</xdr:rowOff>
    </xdr:from>
    <xdr:to>
      <xdr:col>2</xdr:col>
      <xdr:colOff>215900</xdr:colOff>
      <xdr:row>24</xdr:row>
      <xdr:rowOff>38100</xdr:rowOff>
    </xdr:to>
    <xdr:sp macro="" textlink="">
      <xdr:nvSpPr>
        <xdr:cNvPr id="44038" name="CheckBox5" hidden="1">
          <a:extLst>
            <a:ext uri="{63B3BB69-23CF-44E3-9099-C40C66FF867C}">
              <a14:compatExt xmlns:a14="http://schemas.microsoft.com/office/drawing/2010/main" spid="_x0000_s44038"/>
            </a:ext>
          </a:extLst>
        </xdr:cNvPr>
        <xdr:cNvSpPr/>
      </xdr:nvSpPr>
      <xdr:spPr>
        <a:xfrm>
          <a:off x="0" y="0"/>
          <a:ext cx="0" cy="0"/>
        </a:xfrm>
        <a:prstGeom prst="rect">
          <a:avLst/>
        </a:prstGeom>
      </xdr:spPr>
    </xdr:sp>
    <xdr:clientData/>
  </xdr:twoCellAnchor>
  <xdr:twoCellAnchor editAs="oneCell">
    <xdr:from>
      <xdr:col>2</xdr:col>
      <xdr:colOff>50800</xdr:colOff>
      <xdr:row>24</xdr:row>
      <xdr:rowOff>0</xdr:rowOff>
    </xdr:from>
    <xdr:to>
      <xdr:col>2</xdr:col>
      <xdr:colOff>215900</xdr:colOff>
      <xdr:row>25</xdr:row>
      <xdr:rowOff>38100</xdr:rowOff>
    </xdr:to>
    <xdr:sp macro="" textlink="">
      <xdr:nvSpPr>
        <xdr:cNvPr id="44039" name="CheckBox6" hidden="1">
          <a:extLst>
            <a:ext uri="{63B3BB69-23CF-44E3-9099-C40C66FF867C}">
              <a14:compatExt xmlns:a14="http://schemas.microsoft.com/office/drawing/2010/main" spid="_x0000_s44039"/>
            </a:ext>
          </a:extLst>
        </xdr:cNvPr>
        <xdr:cNvSpPr/>
      </xdr:nvSpPr>
      <xdr:spPr>
        <a:xfrm>
          <a:off x="0" y="0"/>
          <a:ext cx="0" cy="0"/>
        </a:xfrm>
        <a:prstGeom prst="rect">
          <a:avLst/>
        </a:prstGeom>
      </xdr:spPr>
    </xdr:sp>
    <xdr:clientData/>
  </xdr:twoCellAnchor>
  <xdr:twoCellAnchor editAs="oneCell">
    <xdr:from>
      <xdr:col>1</xdr:col>
      <xdr:colOff>25400</xdr:colOff>
      <xdr:row>25</xdr:row>
      <xdr:rowOff>38100</xdr:rowOff>
    </xdr:from>
    <xdr:to>
      <xdr:col>2</xdr:col>
      <xdr:colOff>152400</xdr:colOff>
      <xdr:row>26</xdr:row>
      <xdr:rowOff>101600</xdr:rowOff>
    </xdr:to>
    <xdr:sp macro="" textlink="">
      <xdr:nvSpPr>
        <xdr:cNvPr id="44047" name="EvaluateandReset" hidden="1">
          <a:extLst>
            <a:ext uri="{63B3BB69-23CF-44E3-9099-C40C66FF867C}">
              <a14:compatExt xmlns:a14="http://schemas.microsoft.com/office/drawing/2010/main" spid="_x0000_s44047"/>
            </a:ext>
          </a:extLst>
        </xdr:cNvPr>
        <xdr:cNvSpPr/>
      </xdr:nvSpPr>
      <xdr:spPr>
        <a:xfrm>
          <a:off x="0" y="0"/>
          <a:ext cx="0" cy="0"/>
        </a:xfrm>
        <a:prstGeom prst="rect">
          <a:avLst/>
        </a:prstGeom>
      </xdr:spPr>
    </xdr:sp>
    <xdr:clientData/>
  </xdr:twoCellAnchor>
  <xdr:twoCellAnchor editAs="oneCell">
    <xdr:from>
      <xdr:col>2</xdr:col>
      <xdr:colOff>50800</xdr:colOff>
      <xdr:row>36</xdr:row>
      <xdr:rowOff>0</xdr:rowOff>
    </xdr:from>
    <xdr:to>
      <xdr:col>2</xdr:col>
      <xdr:colOff>215900</xdr:colOff>
      <xdr:row>37</xdr:row>
      <xdr:rowOff>38100</xdr:rowOff>
    </xdr:to>
    <xdr:sp macro="" textlink="">
      <xdr:nvSpPr>
        <xdr:cNvPr id="44048" name="CheckBox1" hidden="1">
          <a:extLst>
            <a:ext uri="{63B3BB69-23CF-44E3-9099-C40C66FF867C}">
              <a14:compatExt xmlns:a14="http://schemas.microsoft.com/office/drawing/2010/main" spid="_x0000_s44048"/>
            </a:ext>
          </a:extLst>
        </xdr:cNvPr>
        <xdr:cNvSpPr/>
      </xdr:nvSpPr>
      <xdr:spPr>
        <a:xfrm>
          <a:off x="0" y="0"/>
          <a:ext cx="0" cy="0"/>
        </a:xfrm>
        <a:prstGeom prst="rect">
          <a:avLst/>
        </a:prstGeom>
      </xdr:spPr>
    </xdr:sp>
    <xdr:clientData/>
  </xdr:twoCellAnchor>
  <xdr:twoCellAnchor editAs="oneCell">
    <xdr:from>
      <xdr:col>2</xdr:col>
      <xdr:colOff>50800</xdr:colOff>
      <xdr:row>37</xdr:row>
      <xdr:rowOff>0</xdr:rowOff>
    </xdr:from>
    <xdr:to>
      <xdr:col>2</xdr:col>
      <xdr:colOff>215900</xdr:colOff>
      <xdr:row>38</xdr:row>
      <xdr:rowOff>38100</xdr:rowOff>
    </xdr:to>
    <xdr:sp macro="" textlink="">
      <xdr:nvSpPr>
        <xdr:cNvPr id="44049" name="CheckBox7" hidden="1">
          <a:extLst>
            <a:ext uri="{63B3BB69-23CF-44E3-9099-C40C66FF867C}">
              <a14:compatExt xmlns:a14="http://schemas.microsoft.com/office/drawing/2010/main" spid="_x0000_s44049"/>
            </a:ext>
          </a:extLst>
        </xdr:cNvPr>
        <xdr:cNvSpPr/>
      </xdr:nvSpPr>
      <xdr:spPr>
        <a:xfrm>
          <a:off x="0" y="0"/>
          <a:ext cx="0" cy="0"/>
        </a:xfrm>
        <a:prstGeom prst="rect">
          <a:avLst/>
        </a:prstGeom>
      </xdr:spPr>
    </xdr:sp>
    <xdr:clientData/>
  </xdr:twoCellAnchor>
  <xdr:twoCellAnchor editAs="oneCell">
    <xdr:from>
      <xdr:col>2</xdr:col>
      <xdr:colOff>50800</xdr:colOff>
      <xdr:row>38</xdr:row>
      <xdr:rowOff>0</xdr:rowOff>
    </xdr:from>
    <xdr:to>
      <xdr:col>2</xdr:col>
      <xdr:colOff>215900</xdr:colOff>
      <xdr:row>39</xdr:row>
      <xdr:rowOff>38100</xdr:rowOff>
    </xdr:to>
    <xdr:sp macro="" textlink="">
      <xdr:nvSpPr>
        <xdr:cNvPr id="44050" name="CheckBox8" hidden="1">
          <a:extLst>
            <a:ext uri="{63B3BB69-23CF-44E3-9099-C40C66FF867C}">
              <a14:compatExt xmlns:a14="http://schemas.microsoft.com/office/drawing/2010/main" spid="_x0000_s44050"/>
            </a:ext>
          </a:extLst>
        </xdr:cNvPr>
        <xdr:cNvSpPr/>
      </xdr:nvSpPr>
      <xdr:spPr>
        <a:xfrm>
          <a:off x="0" y="0"/>
          <a:ext cx="0" cy="0"/>
        </a:xfrm>
        <a:prstGeom prst="rect">
          <a:avLst/>
        </a:prstGeom>
      </xdr:spPr>
    </xdr:sp>
    <xdr:clientData/>
  </xdr:twoCellAnchor>
  <xdr:twoCellAnchor editAs="oneCell">
    <xdr:from>
      <xdr:col>2</xdr:col>
      <xdr:colOff>50800</xdr:colOff>
      <xdr:row>39</xdr:row>
      <xdr:rowOff>0</xdr:rowOff>
    </xdr:from>
    <xdr:to>
      <xdr:col>2</xdr:col>
      <xdr:colOff>215900</xdr:colOff>
      <xdr:row>40</xdr:row>
      <xdr:rowOff>38100</xdr:rowOff>
    </xdr:to>
    <xdr:sp macro="" textlink="">
      <xdr:nvSpPr>
        <xdr:cNvPr id="44051" name="CheckBox9" hidden="1">
          <a:extLst>
            <a:ext uri="{63B3BB69-23CF-44E3-9099-C40C66FF867C}">
              <a14:compatExt xmlns:a14="http://schemas.microsoft.com/office/drawing/2010/main" spid="_x0000_s44051"/>
            </a:ext>
          </a:extLst>
        </xdr:cNvPr>
        <xdr:cNvSpPr/>
      </xdr:nvSpPr>
      <xdr:spPr>
        <a:xfrm>
          <a:off x="0" y="0"/>
          <a:ext cx="0" cy="0"/>
        </a:xfrm>
        <a:prstGeom prst="rect">
          <a:avLst/>
        </a:prstGeom>
      </xdr:spPr>
    </xdr:sp>
    <xdr:clientData/>
  </xdr:twoCellAnchor>
  <xdr:twoCellAnchor editAs="oneCell">
    <xdr:from>
      <xdr:col>2</xdr:col>
      <xdr:colOff>50800</xdr:colOff>
      <xdr:row>40</xdr:row>
      <xdr:rowOff>0</xdr:rowOff>
    </xdr:from>
    <xdr:to>
      <xdr:col>2</xdr:col>
      <xdr:colOff>215900</xdr:colOff>
      <xdr:row>41</xdr:row>
      <xdr:rowOff>38100</xdr:rowOff>
    </xdr:to>
    <xdr:sp macro="" textlink="">
      <xdr:nvSpPr>
        <xdr:cNvPr id="44052" name="CheckBox10" hidden="1">
          <a:extLst>
            <a:ext uri="{63B3BB69-23CF-44E3-9099-C40C66FF867C}">
              <a14:compatExt xmlns:a14="http://schemas.microsoft.com/office/drawing/2010/main" spid="_x0000_s44052"/>
            </a:ext>
          </a:extLst>
        </xdr:cNvPr>
        <xdr:cNvSpPr/>
      </xdr:nvSpPr>
      <xdr:spPr>
        <a:xfrm>
          <a:off x="0" y="0"/>
          <a:ext cx="0" cy="0"/>
        </a:xfrm>
        <a:prstGeom prst="rect">
          <a:avLst/>
        </a:prstGeom>
      </xdr:spPr>
    </xdr:sp>
    <xdr:clientData/>
  </xdr:twoCellAnchor>
  <xdr:twoCellAnchor editAs="oneCell">
    <xdr:from>
      <xdr:col>1</xdr:col>
      <xdr:colOff>0</xdr:colOff>
      <xdr:row>41</xdr:row>
      <xdr:rowOff>12700</xdr:rowOff>
    </xdr:from>
    <xdr:to>
      <xdr:col>2</xdr:col>
      <xdr:colOff>139700</xdr:colOff>
      <xdr:row>42</xdr:row>
      <xdr:rowOff>101600</xdr:rowOff>
    </xdr:to>
    <xdr:sp macro="" textlink="">
      <xdr:nvSpPr>
        <xdr:cNvPr id="44054" name="ToggleButton2" hidden="1">
          <a:extLst>
            <a:ext uri="{63B3BB69-23CF-44E3-9099-C40C66FF867C}">
              <a14:compatExt xmlns:a14="http://schemas.microsoft.com/office/drawing/2010/main" spid="_x0000_s44054"/>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5</xdr:col>
          <xdr:colOff>152400</xdr:colOff>
          <xdr:row>28</xdr:row>
          <xdr:rowOff>0</xdr:rowOff>
        </xdr:from>
        <xdr:to>
          <xdr:col>5</xdr:col>
          <xdr:colOff>469900</xdr:colOff>
          <xdr:row>29</xdr:row>
          <xdr:rowOff>25400</xdr:rowOff>
        </xdr:to>
        <xdr:sp macro="" textlink="">
          <xdr:nvSpPr>
            <xdr:cNvPr id="44055" name="Drop Down 23" hidden="1">
              <a:extLst>
                <a:ext uri="{63B3BB69-23CF-44E3-9099-C40C66FF867C}">
                  <a14:compatExt spid="_x0000_s44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43</xdr:row>
          <xdr:rowOff>101600</xdr:rowOff>
        </xdr:from>
        <xdr:to>
          <xdr:col>5</xdr:col>
          <xdr:colOff>482600</xdr:colOff>
          <xdr:row>45</xdr:row>
          <xdr:rowOff>25400</xdr:rowOff>
        </xdr:to>
        <xdr:sp macro="" textlink="">
          <xdr:nvSpPr>
            <xdr:cNvPr id="44056" name="Drop Down 24" hidden="1">
              <a:extLst>
                <a:ext uri="{63B3BB69-23CF-44E3-9099-C40C66FF867C}">
                  <a14:compatExt spid="_x0000_s44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12700</xdr:rowOff>
        </xdr:from>
        <xdr:to>
          <xdr:col>6</xdr:col>
          <xdr:colOff>292100</xdr:colOff>
          <xdr:row>49</xdr:row>
          <xdr:rowOff>38100</xdr:rowOff>
        </xdr:to>
        <xdr:sp macro="" textlink="">
          <xdr:nvSpPr>
            <xdr:cNvPr id="44058" name="Drop Down 26" hidden="1">
              <a:extLst>
                <a:ext uri="{63B3BB69-23CF-44E3-9099-C40C66FF867C}">
                  <a14:compatExt spid="_x0000_s44058"/>
                </a:ext>
              </a:extLst>
            </xdr:cNvPr>
            <xdr:cNvSpPr/>
          </xdr:nvSpPr>
          <xdr:spPr>
            <a:xfrm>
              <a:off x="0" y="0"/>
              <a:ext cx="0" cy="0"/>
            </a:xfrm>
            <a:prstGeom prst="rect">
              <a:avLst/>
            </a:prstGeom>
          </xdr:spPr>
        </xdr:sp>
        <xdr:clientData/>
      </xdr:twoCellAnchor>
    </mc:Choice>
    <mc:Fallback/>
  </mc:AlternateContent>
  <xdr:twoCellAnchor editAs="oneCell">
    <xdr:from>
      <xdr:col>7</xdr:col>
      <xdr:colOff>25400</xdr:colOff>
      <xdr:row>57</xdr:row>
      <xdr:rowOff>12700</xdr:rowOff>
    </xdr:from>
    <xdr:to>
      <xdr:col>8</xdr:col>
      <xdr:colOff>38100</xdr:colOff>
      <xdr:row>58</xdr:row>
      <xdr:rowOff>12700</xdr:rowOff>
    </xdr:to>
    <xdr:sp macro="" textlink="">
      <xdr:nvSpPr>
        <xdr:cNvPr id="44062" name="SpinButton1" hidden="1">
          <a:extLst>
            <a:ext uri="{63B3BB69-23CF-44E3-9099-C40C66FF867C}">
              <a14:compatExt xmlns:a14="http://schemas.microsoft.com/office/drawing/2010/main" spid="_x0000_s44062"/>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4</xdr:col>
          <xdr:colOff>88900</xdr:colOff>
          <xdr:row>75</xdr:row>
          <xdr:rowOff>0</xdr:rowOff>
        </xdr:from>
        <xdr:to>
          <xdr:col>5</xdr:col>
          <xdr:colOff>12700</xdr:colOff>
          <xdr:row>76</xdr:row>
          <xdr:rowOff>25400</xdr:rowOff>
        </xdr:to>
        <xdr:sp macro="" textlink="">
          <xdr:nvSpPr>
            <xdr:cNvPr id="44063" name="Drop Down 31" hidden="1">
              <a:extLst>
                <a:ext uri="{63B3BB69-23CF-44E3-9099-C40C66FF867C}">
                  <a14:compatExt spid="_x0000_s44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79</xdr:row>
          <xdr:rowOff>12700</xdr:rowOff>
        </xdr:from>
        <xdr:to>
          <xdr:col>1</xdr:col>
          <xdr:colOff>508000</xdr:colOff>
          <xdr:row>80</xdr:row>
          <xdr:rowOff>38100</xdr:rowOff>
        </xdr:to>
        <xdr:sp macro="" textlink="">
          <xdr:nvSpPr>
            <xdr:cNvPr id="44064" name="Drop Down 32" hidden="1">
              <a:extLst>
                <a:ext uri="{63B3BB69-23CF-44E3-9099-C40C66FF867C}">
                  <a14:compatExt spid="_x0000_s44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83</xdr:row>
          <xdr:rowOff>12700</xdr:rowOff>
        </xdr:from>
        <xdr:to>
          <xdr:col>1</xdr:col>
          <xdr:colOff>508000</xdr:colOff>
          <xdr:row>84</xdr:row>
          <xdr:rowOff>38100</xdr:rowOff>
        </xdr:to>
        <xdr:sp macro="" textlink="">
          <xdr:nvSpPr>
            <xdr:cNvPr id="44065" name="Drop Down 33" hidden="1">
              <a:extLst>
                <a:ext uri="{63B3BB69-23CF-44E3-9099-C40C66FF867C}">
                  <a14:compatExt spid="_x0000_s44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558800</xdr:colOff>
          <xdr:row>88</xdr:row>
          <xdr:rowOff>38100</xdr:rowOff>
        </xdr:from>
        <xdr:to>
          <xdr:col>5</xdr:col>
          <xdr:colOff>228600</xdr:colOff>
          <xdr:row>89</xdr:row>
          <xdr:rowOff>63500</xdr:rowOff>
        </xdr:to>
        <xdr:sp macro="" textlink="">
          <xdr:nvSpPr>
            <xdr:cNvPr id="44066" name="Drop Down 34" hidden="1">
              <a:extLst>
                <a:ext uri="{63B3BB69-23CF-44E3-9099-C40C66FF867C}">
                  <a14:compatExt spid="_x0000_s44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596900</xdr:colOff>
          <xdr:row>13</xdr:row>
          <xdr:rowOff>101600</xdr:rowOff>
        </xdr:from>
        <xdr:to>
          <xdr:col>12</xdr:col>
          <xdr:colOff>520700</xdr:colOff>
          <xdr:row>14</xdr:row>
          <xdr:rowOff>127000</xdr:rowOff>
        </xdr:to>
        <xdr:sp macro="" textlink="">
          <xdr:nvSpPr>
            <xdr:cNvPr id="44067" name="Drop Down 35" hidden="1">
              <a:extLst>
                <a:ext uri="{63B3BB69-23CF-44E3-9099-C40C66FF867C}">
                  <a14:compatExt spid="_x0000_s44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50800</xdr:colOff>
          <xdr:row>12</xdr:row>
          <xdr:rowOff>0</xdr:rowOff>
        </xdr:from>
        <xdr:to>
          <xdr:col>2</xdr:col>
          <xdr:colOff>228600</xdr:colOff>
          <xdr:row>12</xdr:row>
          <xdr:rowOff>177800</xdr:rowOff>
        </xdr:to>
        <xdr:sp macro="" textlink="">
          <xdr:nvSpPr>
            <xdr:cNvPr id="44068" name="Spinner 36" hidden="1">
              <a:extLst>
                <a:ext uri="{63B3BB69-23CF-44E3-9099-C40C66FF867C}">
                  <a14:compatExt spid="_x0000_s44068"/>
                </a:ext>
              </a:extLst>
            </xdr:cNvPr>
            <xdr:cNvSpPr/>
          </xdr:nvSpPr>
          <xdr:spPr>
            <a:xfrm>
              <a:off x="0" y="0"/>
              <a:ext cx="0" cy="0"/>
            </a:xfrm>
            <a:prstGeom prst="rect">
              <a:avLst/>
            </a:prstGeom>
          </xdr:spPr>
        </xdr:sp>
        <xdr:clientData/>
      </xdr:twoCellAnchor>
    </mc:Choice>
    <mc:Fallback/>
  </mc:AlternateContent>
  <xdr:twoCellAnchor editAs="oneCell">
    <xdr:from>
      <xdr:col>2</xdr:col>
      <xdr:colOff>50800</xdr:colOff>
      <xdr:row>20</xdr:row>
      <xdr:rowOff>0</xdr:rowOff>
    </xdr:from>
    <xdr:to>
      <xdr:col>2</xdr:col>
      <xdr:colOff>215900</xdr:colOff>
      <xdr:row>21</xdr:row>
      <xdr:rowOff>38100</xdr:rowOff>
    </xdr:to>
    <xdr:pic>
      <xdr:nvPicPr>
        <xdr:cNvPr id="2" name="CheckBox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8500" y="30861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21</xdr:row>
      <xdr:rowOff>0</xdr:rowOff>
    </xdr:from>
    <xdr:to>
      <xdr:col>2</xdr:col>
      <xdr:colOff>215900</xdr:colOff>
      <xdr:row>22</xdr:row>
      <xdr:rowOff>38100</xdr:rowOff>
    </xdr:to>
    <xdr:pic>
      <xdr:nvPicPr>
        <xdr:cNvPr id="3" name="CheckBox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8500" y="32385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22</xdr:row>
      <xdr:rowOff>0</xdr:rowOff>
    </xdr:from>
    <xdr:to>
      <xdr:col>2</xdr:col>
      <xdr:colOff>215900</xdr:colOff>
      <xdr:row>23</xdr:row>
      <xdr:rowOff>38100</xdr:rowOff>
    </xdr:to>
    <xdr:pic>
      <xdr:nvPicPr>
        <xdr:cNvPr id="4" name="CheckBox4"/>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8500" y="33909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23</xdr:row>
      <xdr:rowOff>0</xdr:rowOff>
    </xdr:from>
    <xdr:to>
      <xdr:col>2</xdr:col>
      <xdr:colOff>215900</xdr:colOff>
      <xdr:row>24</xdr:row>
      <xdr:rowOff>38100</xdr:rowOff>
    </xdr:to>
    <xdr:pic>
      <xdr:nvPicPr>
        <xdr:cNvPr id="5" name="CheckBox5"/>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8500" y="35433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24</xdr:row>
      <xdr:rowOff>0</xdr:rowOff>
    </xdr:from>
    <xdr:to>
      <xdr:col>2</xdr:col>
      <xdr:colOff>215900</xdr:colOff>
      <xdr:row>25</xdr:row>
      <xdr:rowOff>38100</xdr:rowOff>
    </xdr:to>
    <xdr:pic>
      <xdr:nvPicPr>
        <xdr:cNvPr id="6" name="CheckBox6"/>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8500" y="36957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xdr:col>
      <xdr:colOff>25400</xdr:colOff>
      <xdr:row>25</xdr:row>
      <xdr:rowOff>38100</xdr:rowOff>
    </xdr:from>
    <xdr:to>
      <xdr:col>2</xdr:col>
      <xdr:colOff>152400</xdr:colOff>
      <xdr:row>26</xdr:row>
      <xdr:rowOff>101600</xdr:rowOff>
    </xdr:to>
    <xdr:pic>
      <xdr:nvPicPr>
        <xdr:cNvPr id="7" name="EvaluateandReset"/>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98500" y="3886200"/>
          <a:ext cx="1371600" cy="2159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36</xdr:row>
      <xdr:rowOff>0</xdr:rowOff>
    </xdr:from>
    <xdr:to>
      <xdr:col>2</xdr:col>
      <xdr:colOff>215900</xdr:colOff>
      <xdr:row>37</xdr:row>
      <xdr:rowOff>38100</xdr:rowOff>
    </xdr:to>
    <xdr:pic>
      <xdr:nvPicPr>
        <xdr:cNvPr id="8" name="CheckBox1"/>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68500" y="55245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37</xdr:row>
      <xdr:rowOff>0</xdr:rowOff>
    </xdr:from>
    <xdr:to>
      <xdr:col>2</xdr:col>
      <xdr:colOff>215900</xdr:colOff>
      <xdr:row>38</xdr:row>
      <xdr:rowOff>38100</xdr:rowOff>
    </xdr:to>
    <xdr:pic>
      <xdr:nvPicPr>
        <xdr:cNvPr id="9" name="CheckBox7"/>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968500" y="56769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38</xdr:row>
      <xdr:rowOff>0</xdr:rowOff>
    </xdr:from>
    <xdr:to>
      <xdr:col>2</xdr:col>
      <xdr:colOff>215900</xdr:colOff>
      <xdr:row>39</xdr:row>
      <xdr:rowOff>38100</xdr:rowOff>
    </xdr:to>
    <xdr:pic>
      <xdr:nvPicPr>
        <xdr:cNvPr id="10" name="CheckBox8"/>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968500" y="58293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39</xdr:row>
      <xdr:rowOff>0</xdr:rowOff>
    </xdr:from>
    <xdr:to>
      <xdr:col>2</xdr:col>
      <xdr:colOff>215900</xdr:colOff>
      <xdr:row>40</xdr:row>
      <xdr:rowOff>38100</xdr:rowOff>
    </xdr:to>
    <xdr:pic>
      <xdr:nvPicPr>
        <xdr:cNvPr id="11" name="CheckBox9"/>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68500" y="59817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50800</xdr:colOff>
      <xdr:row>40</xdr:row>
      <xdr:rowOff>0</xdr:rowOff>
    </xdr:from>
    <xdr:to>
      <xdr:col>2</xdr:col>
      <xdr:colOff>215900</xdr:colOff>
      <xdr:row>41</xdr:row>
      <xdr:rowOff>38100</xdr:rowOff>
    </xdr:to>
    <xdr:pic>
      <xdr:nvPicPr>
        <xdr:cNvPr id="12" name="CheckBox10"/>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68500" y="6134100"/>
          <a:ext cx="1651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xdr:col>
      <xdr:colOff>0</xdr:colOff>
      <xdr:row>41</xdr:row>
      <xdr:rowOff>12700</xdr:rowOff>
    </xdr:from>
    <xdr:to>
      <xdr:col>2</xdr:col>
      <xdr:colOff>139700</xdr:colOff>
      <xdr:row>42</xdr:row>
      <xdr:rowOff>101600</xdr:rowOff>
    </xdr:to>
    <xdr:pic>
      <xdr:nvPicPr>
        <xdr:cNvPr id="13" name="ToggleButton2"/>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73100" y="6299200"/>
          <a:ext cx="1384300" cy="241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25400</xdr:colOff>
      <xdr:row>57</xdr:row>
      <xdr:rowOff>12700</xdr:rowOff>
    </xdr:from>
    <xdr:to>
      <xdr:col>8</xdr:col>
      <xdr:colOff>38100</xdr:colOff>
      <xdr:row>58</xdr:row>
      <xdr:rowOff>12700</xdr:rowOff>
    </xdr:to>
    <xdr:pic>
      <xdr:nvPicPr>
        <xdr:cNvPr id="14" name="SpinButton1"/>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086600" y="8737600"/>
          <a:ext cx="6858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330200</xdr:colOff>
          <xdr:row>20</xdr:row>
          <xdr:rowOff>25400</xdr:rowOff>
        </xdr:from>
        <xdr:to>
          <xdr:col>2</xdr:col>
          <xdr:colOff>546100</xdr:colOff>
          <xdr:row>20</xdr:row>
          <xdr:rowOff>215900</xdr:rowOff>
        </xdr:to>
        <xdr:sp macro="" textlink="">
          <xdr:nvSpPr>
            <xdr:cNvPr id="58370" name="Spinner 2" hidden="1">
              <a:extLst>
                <a:ext uri="{63B3BB69-23CF-44E3-9099-C40C66FF867C}">
                  <a14:compatExt spid="_x0000_s58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21</xdr:row>
          <xdr:rowOff>25400</xdr:rowOff>
        </xdr:from>
        <xdr:to>
          <xdr:col>2</xdr:col>
          <xdr:colOff>546100</xdr:colOff>
          <xdr:row>21</xdr:row>
          <xdr:rowOff>215900</xdr:rowOff>
        </xdr:to>
        <xdr:sp macro="" textlink="">
          <xdr:nvSpPr>
            <xdr:cNvPr id="58371" name="Spinner 3" hidden="1">
              <a:extLst>
                <a:ext uri="{63B3BB69-23CF-44E3-9099-C40C66FF867C}">
                  <a14:compatExt spid="_x0000_s58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22</xdr:row>
          <xdr:rowOff>25400</xdr:rowOff>
        </xdr:from>
        <xdr:to>
          <xdr:col>2</xdr:col>
          <xdr:colOff>546100</xdr:colOff>
          <xdr:row>22</xdr:row>
          <xdr:rowOff>215900</xdr:rowOff>
        </xdr:to>
        <xdr:sp macro="" textlink="">
          <xdr:nvSpPr>
            <xdr:cNvPr id="58372" name="Spinner 4" hidden="1">
              <a:extLst>
                <a:ext uri="{63B3BB69-23CF-44E3-9099-C40C66FF867C}">
                  <a14:compatExt spid="_x0000_s58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23</xdr:row>
          <xdr:rowOff>25400</xdr:rowOff>
        </xdr:from>
        <xdr:to>
          <xdr:col>2</xdr:col>
          <xdr:colOff>546100</xdr:colOff>
          <xdr:row>23</xdr:row>
          <xdr:rowOff>215900</xdr:rowOff>
        </xdr:to>
        <xdr:sp macro="" textlink="">
          <xdr:nvSpPr>
            <xdr:cNvPr id="58373" name="Spinner 5" hidden="1">
              <a:extLst>
                <a:ext uri="{63B3BB69-23CF-44E3-9099-C40C66FF867C}">
                  <a14:compatExt spid="_x0000_s58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24</xdr:row>
          <xdr:rowOff>25400</xdr:rowOff>
        </xdr:from>
        <xdr:to>
          <xdr:col>2</xdr:col>
          <xdr:colOff>546100</xdr:colOff>
          <xdr:row>24</xdr:row>
          <xdr:rowOff>215900</xdr:rowOff>
        </xdr:to>
        <xdr:sp macro="" textlink="">
          <xdr:nvSpPr>
            <xdr:cNvPr id="58374" name="Spinner 6" hidden="1">
              <a:extLst>
                <a:ext uri="{63B3BB69-23CF-44E3-9099-C40C66FF867C}">
                  <a14:compatExt spid="_x0000_s58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25</xdr:row>
          <xdr:rowOff>25400</xdr:rowOff>
        </xdr:from>
        <xdr:to>
          <xdr:col>2</xdr:col>
          <xdr:colOff>546100</xdr:colOff>
          <xdr:row>25</xdr:row>
          <xdr:rowOff>215900</xdr:rowOff>
        </xdr:to>
        <xdr:sp macro="" textlink="">
          <xdr:nvSpPr>
            <xdr:cNvPr id="58375" name="Spinner 7" hidden="1">
              <a:extLst>
                <a:ext uri="{63B3BB69-23CF-44E3-9099-C40C66FF867C}">
                  <a14:compatExt spid="_x0000_s58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431800</xdr:colOff>
          <xdr:row>28</xdr:row>
          <xdr:rowOff>0</xdr:rowOff>
        </xdr:from>
        <xdr:to>
          <xdr:col>9</xdr:col>
          <xdr:colOff>495300</xdr:colOff>
          <xdr:row>29</xdr:row>
          <xdr:rowOff>38100</xdr:rowOff>
        </xdr:to>
        <xdr:sp macro="" textlink="">
          <xdr:nvSpPr>
            <xdr:cNvPr id="58376" name="Drop Down 8" hidden="1">
              <a:extLst>
                <a:ext uri="{63B3BB69-23CF-44E3-9099-C40C66FF867C}">
                  <a14:compatExt spid="_x0000_s58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36</xdr:row>
          <xdr:rowOff>25400</xdr:rowOff>
        </xdr:from>
        <xdr:to>
          <xdr:col>2</xdr:col>
          <xdr:colOff>546100</xdr:colOff>
          <xdr:row>36</xdr:row>
          <xdr:rowOff>215900</xdr:rowOff>
        </xdr:to>
        <xdr:sp macro="" textlink="">
          <xdr:nvSpPr>
            <xdr:cNvPr id="58377" name="Spinner 9" hidden="1">
              <a:extLst>
                <a:ext uri="{63B3BB69-23CF-44E3-9099-C40C66FF867C}">
                  <a14:compatExt spid="_x0000_s58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37</xdr:row>
          <xdr:rowOff>25400</xdr:rowOff>
        </xdr:from>
        <xdr:to>
          <xdr:col>2</xdr:col>
          <xdr:colOff>546100</xdr:colOff>
          <xdr:row>37</xdr:row>
          <xdr:rowOff>215900</xdr:rowOff>
        </xdr:to>
        <xdr:sp macro="" textlink="">
          <xdr:nvSpPr>
            <xdr:cNvPr id="58378" name="Spinner 10" hidden="1">
              <a:extLst>
                <a:ext uri="{63B3BB69-23CF-44E3-9099-C40C66FF867C}">
                  <a14:compatExt spid="_x0000_s58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38</xdr:row>
          <xdr:rowOff>25400</xdr:rowOff>
        </xdr:from>
        <xdr:to>
          <xdr:col>2</xdr:col>
          <xdr:colOff>546100</xdr:colOff>
          <xdr:row>38</xdr:row>
          <xdr:rowOff>215900</xdr:rowOff>
        </xdr:to>
        <xdr:sp macro="" textlink="">
          <xdr:nvSpPr>
            <xdr:cNvPr id="58379" name="Spinner 11" hidden="1">
              <a:extLst>
                <a:ext uri="{63B3BB69-23CF-44E3-9099-C40C66FF867C}">
                  <a14:compatExt spid="_x0000_s58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39</xdr:row>
          <xdr:rowOff>25400</xdr:rowOff>
        </xdr:from>
        <xdr:to>
          <xdr:col>2</xdr:col>
          <xdr:colOff>546100</xdr:colOff>
          <xdr:row>39</xdr:row>
          <xdr:rowOff>215900</xdr:rowOff>
        </xdr:to>
        <xdr:sp macro="" textlink="">
          <xdr:nvSpPr>
            <xdr:cNvPr id="58380" name="Spinner 12" hidden="1">
              <a:extLst>
                <a:ext uri="{63B3BB69-23CF-44E3-9099-C40C66FF867C}">
                  <a14:compatExt spid="_x0000_s58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40</xdr:row>
          <xdr:rowOff>25400</xdr:rowOff>
        </xdr:from>
        <xdr:to>
          <xdr:col>2</xdr:col>
          <xdr:colOff>546100</xdr:colOff>
          <xdr:row>40</xdr:row>
          <xdr:rowOff>215900</xdr:rowOff>
        </xdr:to>
        <xdr:sp macro="" textlink="">
          <xdr:nvSpPr>
            <xdr:cNvPr id="58381" name="Spinner 13" hidden="1">
              <a:extLst>
                <a:ext uri="{63B3BB69-23CF-44E3-9099-C40C66FF867C}">
                  <a14:compatExt spid="_x0000_s58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41</xdr:row>
          <xdr:rowOff>25400</xdr:rowOff>
        </xdr:from>
        <xdr:to>
          <xdr:col>2</xdr:col>
          <xdr:colOff>546100</xdr:colOff>
          <xdr:row>41</xdr:row>
          <xdr:rowOff>215900</xdr:rowOff>
        </xdr:to>
        <xdr:sp macro="" textlink="">
          <xdr:nvSpPr>
            <xdr:cNvPr id="58382" name="Spinner 14" hidden="1">
              <a:extLst>
                <a:ext uri="{63B3BB69-23CF-44E3-9099-C40C66FF867C}">
                  <a14:compatExt spid="_x0000_s58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44</xdr:row>
          <xdr:rowOff>0</xdr:rowOff>
        </xdr:from>
        <xdr:to>
          <xdr:col>9</xdr:col>
          <xdr:colOff>457200</xdr:colOff>
          <xdr:row>45</xdr:row>
          <xdr:rowOff>38100</xdr:rowOff>
        </xdr:to>
        <xdr:sp macro="" textlink="">
          <xdr:nvSpPr>
            <xdr:cNvPr id="58383" name="Drop Down 15" hidden="1">
              <a:extLst>
                <a:ext uri="{63B3BB69-23CF-44E3-9099-C40C66FF867C}">
                  <a14:compatExt spid="_x0000_s58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49</xdr:row>
          <xdr:rowOff>63500</xdr:rowOff>
        </xdr:from>
        <xdr:to>
          <xdr:col>7</xdr:col>
          <xdr:colOff>88900</xdr:colOff>
          <xdr:row>50</xdr:row>
          <xdr:rowOff>139700</xdr:rowOff>
        </xdr:to>
        <xdr:sp macro="" textlink="">
          <xdr:nvSpPr>
            <xdr:cNvPr id="58384" name="Drop Down 16" hidden="1">
              <a:extLst>
                <a:ext uri="{63B3BB69-23CF-44E3-9099-C40C66FF867C}">
                  <a14:compatExt spid="_x0000_s58384"/>
                </a:ext>
              </a:extLst>
            </xdr:cNvPr>
            <xdr:cNvSpPr/>
          </xdr:nvSpPr>
          <xdr:spPr>
            <a:xfrm>
              <a:off x="0" y="0"/>
              <a:ext cx="0" cy="0"/>
            </a:xfrm>
            <a:prstGeom prst="rect">
              <a:avLst/>
            </a:prstGeom>
          </xdr:spPr>
        </xdr:sp>
        <xdr:clientData/>
      </xdr:twoCellAnchor>
    </mc:Choice>
    <mc:Fallback/>
  </mc:AlternateContent>
  <xdr:twoCellAnchor>
    <xdr:from>
      <xdr:col>1</xdr:col>
      <xdr:colOff>50800</xdr:colOff>
      <xdr:row>54</xdr:row>
      <xdr:rowOff>101600</xdr:rowOff>
    </xdr:from>
    <xdr:to>
      <xdr:col>9</xdr:col>
      <xdr:colOff>222250</xdr:colOff>
      <xdr:row>69</xdr:row>
      <xdr:rowOff>117475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10</xdr:col>
          <xdr:colOff>254000</xdr:colOff>
          <xdr:row>59</xdr:row>
          <xdr:rowOff>50800</xdr:rowOff>
        </xdr:from>
        <xdr:to>
          <xdr:col>10</xdr:col>
          <xdr:colOff>469900</xdr:colOff>
          <xdr:row>60</xdr:row>
          <xdr:rowOff>101600</xdr:rowOff>
        </xdr:to>
        <xdr:sp macro="" textlink="">
          <xdr:nvSpPr>
            <xdr:cNvPr id="58385" name="Spinner 17" hidden="1">
              <a:extLst>
                <a:ext uri="{63B3BB69-23CF-44E3-9099-C40C66FF867C}">
                  <a14:compatExt spid="_x0000_s58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75</xdr:row>
          <xdr:rowOff>50800</xdr:rowOff>
        </xdr:from>
        <xdr:to>
          <xdr:col>6</xdr:col>
          <xdr:colOff>495300</xdr:colOff>
          <xdr:row>76</xdr:row>
          <xdr:rowOff>76200</xdr:rowOff>
        </xdr:to>
        <xdr:sp macro="" textlink="">
          <xdr:nvSpPr>
            <xdr:cNvPr id="58386" name="Drop Down 18" hidden="1">
              <a:extLst>
                <a:ext uri="{63B3BB69-23CF-44E3-9099-C40C66FF867C}">
                  <a14:compatExt spid="_x0000_s58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79</xdr:row>
          <xdr:rowOff>25400</xdr:rowOff>
        </xdr:from>
        <xdr:to>
          <xdr:col>4</xdr:col>
          <xdr:colOff>76200</xdr:colOff>
          <xdr:row>80</xdr:row>
          <xdr:rowOff>50800</xdr:rowOff>
        </xdr:to>
        <xdr:sp macro="" textlink="">
          <xdr:nvSpPr>
            <xdr:cNvPr id="58387" name="Drop Down 19" hidden="1">
              <a:extLst>
                <a:ext uri="{63B3BB69-23CF-44E3-9099-C40C66FF867C}">
                  <a14:compatExt spid="_x0000_s58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83</xdr:row>
          <xdr:rowOff>25400</xdr:rowOff>
        </xdr:from>
        <xdr:to>
          <xdr:col>4</xdr:col>
          <xdr:colOff>76200</xdr:colOff>
          <xdr:row>84</xdr:row>
          <xdr:rowOff>50800</xdr:rowOff>
        </xdr:to>
        <xdr:sp macro="" textlink="">
          <xdr:nvSpPr>
            <xdr:cNvPr id="58388" name="Drop Down 20" hidden="1">
              <a:extLst>
                <a:ext uri="{63B3BB69-23CF-44E3-9099-C40C66FF867C}">
                  <a14:compatExt spid="_x0000_s58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355600</xdr:colOff>
          <xdr:row>88</xdr:row>
          <xdr:rowOff>25400</xdr:rowOff>
        </xdr:from>
        <xdr:to>
          <xdr:col>5</xdr:col>
          <xdr:colOff>609600</xdr:colOff>
          <xdr:row>89</xdr:row>
          <xdr:rowOff>50800</xdr:rowOff>
        </xdr:to>
        <xdr:sp macro="" textlink="">
          <xdr:nvSpPr>
            <xdr:cNvPr id="58389" name="Drop Down 21" hidden="1">
              <a:extLst>
                <a:ext uri="{63B3BB69-23CF-44E3-9099-C40C66FF867C}">
                  <a14:compatExt spid="_x0000_s5838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330200</xdr:colOff>
          <xdr:row>20</xdr:row>
          <xdr:rowOff>25400</xdr:rowOff>
        </xdr:from>
        <xdr:to>
          <xdr:col>2</xdr:col>
          <xdr:colOff>546100</xdr:colOff>
          <xdr:row>20</xdr:row>
          <xdr:rowOff>215900</xdr:rowOff>
        </xdr:to>
        <xdr:sp macro="" textlink="">
          <xdr:nvSpPr>
            <xdr:cNvPr id="65537" name="Spinner 1" hidden="1">
              <a:extLst>
                <a:ext uri="{63B3BB69-23CF-44E3-9099-C40C66FF867C}">
                  <a14:compatExt spid="_x0000_s65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21</xdr:row>
          <xdr:rowOff>25400</xdr:rowOff>
        </xdr:from>
        <xdr:to>
          <xdr:col>2</xdr:col>
          <xdr:colOff>546100</xdr:colOff>
          <xdr:row>21</xdr:row>
          <xdr:rowOff>215900</xdr:rowOff>
        </xdr:to>
        <xdr:sp macro="" textlink="">
          <xdr:nvSpPr>
            <xdr:cNvPr id="65538" name="Spinner 2" hidden="1">
              <a:extLst>
                <a:ext uri="{63B3BB69-23CF-44E3-9099-C40C66FF867C}">
                  <a14:compatExt spid="_x0000_s65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22</xdr:row>
          <xdr:rowOff>25400</xdr:rowOff>
        </xdr:from>
        <xdr:to>
          <xdr:col>2</xdr:col>
          <xdr:colOff>546100</xdr:colOff>
          <xdr:row>22</xdr:row>
          <xdr:rowOff>215900</xdr:rowOff>
        </xdr:to>
        <xdr:sp macro="" textlink="">
          <xdr:nvSpPr>
            <xdr:cNvPr id="65539" name="Spinner 3" hidden="1">
              <a:extLst>
                <a:ext uri="{63B3BB69-23CF-44E3-9099-C40C66FF867C}">
                  <a14:compatExt spid="_x0000_s65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23</xdr:row>
          <xdr:rowOff>25400</xdr:rowOff>
        </xdr:from>
        <xdr:to>
          <xdr:col>2</xdr:col>
          <xdr:colOff>546100</xdr:colOff>
          <xdr:row>23</xdr:row>
          <xdr:rowOff>215900</xdr:rowOff>
        </xdr:to>
        <xdr:sp macro="" textlink="">
          <xdr:nvSpPr>
            <xdr:cNvPr id="65540" name="Spinner 4" hidden="1">
              <a:extLst>
                <a:ext uri="{63B3BB69-23CF-44E3-9099-C40C66FF867C}">
                  <a14:compatExt spid="_x0000_s65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24</xdr:row>
          <xdr:rowOff>25400</xdr:rowOff>
        </xdr:from>
        <xdr:to>
          <xdr:col>2</xdr:col>
          <xdr:colOff>546100</xdr:colOff>
          <xdr:row>24</xdr:row>
          <xdr:rowOff>215900</xdr:rowOff>
        </xdr:to>
        <xdr:sp macro="" textlink="">
          <xdr:nvSpPr>
            <xdr:cNvPr id="65541" name="Spinner 5" hidden="1">
              <a:extLst>
                <a:ext uri="{63B3BB69-23CF-44E3-9099-C40C66FF867C}">
                  <a14:compatExt spid="_x0000_s65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25</xdr:row>
          <xdr:rowOff>25400</xdr:rowOff>
        </xdr:from>
        <xdr:to>
          <xdr:col>2</xdr:col>
          <xdr:colOff>546100</xdr:colOff>
          <xdr:row>25</xdr:row>
          <xdr:rowOff>215900</xdr:rowOff>
        </xdr:to>
        <xdr:sp macro="" textlink="">
          <xdr:nvSpPr>
            <xdr:cNvPr id="65542" name="Spinner 6" hidden="1">
              <a:extLst>
                <a:ext uri="{63B3BB69-23CF-44E3-9099-C40C66FF867C}">
                  <a14:compatExt spid="_x0000_s65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431800</xdr:colOff>
          <xdr:row>28</xdr:row>
          <xdr:rowOff>0</xdr:rowOff>
        </xdr:from>
        <xdr:to>
          <xdr:col>11</xdr:col>
          <xdr:colOff>596900</xdr:colOff>
          <xdr:row>29</xdr:row>
          <xdr:rowOff>38100</xdr:rowOff>
        </xdr:to>
        <xdr:sp macro="" textlink="">
          <xdr:nvSpPr>
            <xdr:cNvPr id="65543" name="Drop Down 7" hidden="1">
              <a:extLst>
                <a:ext uri="{63B3BB69-23CF-44E3-9099-C40C66FF867C}">
                  <a14:compatExt spid="_x0000_s65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36</xdr:row>
          <xdr:rowOff>25400</xdr:rowOff>
        </xdr:from>
        <xdr:to>
          <xdr:col>2</xdr:col>
          <xdr:colOff>546100</xdr:colOff>
          <xdr:row>36</xdr:row>
          <xdr:rowOff>215900</xdr:rowOff>
        </xdr:to>
        <xdr:sp macro="" textlink="">
          <xdr:nvSpPr>
            <xdr:cNvPr id="65544" name="Spinner 8" hidden="1">
              <a:extLst>
                <a:ext uri="{63B3BB69-23CF-44E3-9099-C40C66FF867C}">
                  <a14:compatExt spid="_x0000_s65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37</xdr:row>
          <xdr:rowOff>25400</xdr:rowOff>
        </xdr:from>
        <xdr:to>
          <xdr:col>2</xdr:col>
          <xdr:colOff>546100</xdr:colOff>
          <xdr:row>37</xdr:row>
          <xdr:rowOff>215900</xdr:rowOff>
        </xdr:to>
        <xdr:sp macro="" textlink="">
          <xdr:nvSpPr>
            <xdr:cNvPr id="65545" name="Spinner 9" hidden="1">
              <a:extLst>
                <a:ext uri="{63B3BB69-23CF-44E3-9099-C40C66FF867C}">
                  <a14:compatExt spid="_x0000_s65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38</xdr:row>
          <xdr:rowOff>25400</xdr:rowOff>
        </xdr:from>
        <xdr:to>
          <xdr:col>2</xdr:col>
          <xdr:colOff>546100</xdr:colOff>
          <xdr:row>38</xdr:row>
          <xdr:rowOff>215900</xdr:rowOff>
        </xdr:to>
        <xdr:sp macro="" textlink="">
          <xdr:nvSpPr>
            <xdr:cNvPr id="65546" name="Spinner 10" hidden="1">
              <a:extLst>
                <a:ext uri="{63B3BB69-23CF-44E3-9099-C40C66FF867C}">
                  <a14:compatExt spid="_x0000_s65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39</xdr:row>
          <xdr:rowOff>25400</xdr:rowOff>
        </xdr:from>
        <xdr:to>
          <xdr:col>2</xdr:col>
          <xdr:colOff>546100</xdr:colOff>
          <xdr:row>39</xdr:row>
          <xdr:rowOff>215900</xdr:rowOff>
        </xdr:to>
        <xdr:sp macro="" textlink="">
          <xdr:nvSpPr>
            <xdr:cNvPr id="65547" name="Spinner 11" hidden="1">
              <a:extLst>
                <a:ext uri="{63B3BB69-23CF-44E3-9099-C40C66FF867C}">
                  <a14:compatExt spid="_x0000_s65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40</xdr:row>
          <xdr:rowOff>25400</xdr:rowOff>
        </xdr:from>
        <xdr:to>
          <xdr:col>2</xdr:col>
          <xdr:colOff>546100</xdr:colOff>
          <xdr:row>40</xdr:row>
          <xdr:rowOff>215900</xdr:rowOff>
        </xdr:to>
        <xdr:sp macro="" textlink="">
          <xdr:nvSpPr>
            <xdr:cNvPr id="65548" name="Spinner 12" hidden="1">
              <a:extLst>
                <a:ext uri="{63B3BB69-23CF-44E3-9099-C40C66FF867C}">
                  <a14:compatExt spid="_x0000_s65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330200</xdr:colOff>
          <xdr:row>41</xdr:row>
          <xdr:rowOff>25400</xdr:rowOff>
        </xdr:from>
        <xdr:to>
          <xdr:col>2</xdr:col>
          <xdr:colOff>546100</xdr:colOff>
          <xdr:row>41</xdr:row>
          <xdr:rowOff>215900</xdr:rowOff>
        </xdr:to>
        <xdr:sp macro="" textlink="">
          <xdr:nvSpPr>
            <xdr:cNvPr id="65549" name="Spinner 13" hidden="1">
              <a:extLst>
                <a:ext uri="{63B3BB69-23CF-44E3-9099-C40C66FF867C}">
                  <a14:compatExt spid="_x0000_s65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44</xdr:row>
          <xdr:rowOff>0</xdr:rowOff>
        </xdr:from>
        <xdr:to>
          <xdr:col>9</xdr:col>
          <xdr:colOff>457200</xdr:colOff>
          <xdr:row>45</xdr:row>
          <xdr:rowOff>38100</xdr:rowOff>
        </xdr:to>
        <xdr:sp macro="" textlink="">
          <xdr:nvSpPr>
            <xdr:cNvPr id="65550" name="Drop Down 14" hidden="1">
              <a:extLst>
                <a:ext uri="{63B3BB69-23CF-44E3-9099-C40C66FF867C}">
                  <a14:compatExt spid="_x0000_s65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49</xdr:row>
          <xdr:rowOff>63500</xdr:rowOff>
        </xdr:from>
        <xdr:to>
          <xdr:col>7</xdr:col>
          <xdr:colOff>88900</xdr:colOff>
          <xdr:row>50</xdr:row>
          <xdr:rowOff>139700</xdr:rowOff>
        </xdr:to>
        <xdr:sp macro="" textlink="">
          <xdr:nvSpPr>
            <xdr:cNvPr id="65551" name="Drop Down 15" hidden="1">
              <a:extLst>
                <a:ext uri="{63B3BB69-23CF-44E3-9099-C40C66FF867C}">
                  <a14:compatExt spid="_x0000_s65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254000</xdr:colOff>
          <xdr:row>59</xdr:row>
          <xdr:rowOff>50800</xdr:rowOff>
        </xdr:from>
        <xdr:to>
          <xdr:col>10</xdr:col>
          <xdr:colOff>469900</xdr:colOff>
          <xdr:row>60</xdr:row>
          <xdr:rowOff>101600</xdr:rowOff>
        </xdr:to>
        <xdr:sp macro="" textlink="">
          <xdr:nvSpPr>
            <xdr:cNvPr id="65552" name="Spinner 16" hidden="1">
              <a:extLst>
                <a:ext uri="{63B3BB69-23CF-44E3-9099-C40C66FF867C}">
                  <a14:compatExt spid="_x0000_s65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75</xdr:row>
          <xdr:rowOff>38100</xdr:rowOff>
        </xdr:from>
        <xdr:to>
          <xdr:col>8</xdr:col>
          <xdr:colOff>266700</xdr:colOff>
          <xdr:row>76</xdr:row>
          <xdr:rowOff>88900</xdr:rowOff>
        </xdr:to>
        <xdr:sp macro="" textlink="">
          <xdr:nvSpPr>
            <xdr:cNvPr id="65553" name="Drop Down 17" hidden="1">
              <a:extLst>
                <a:ext uri="{63B3BB69-23CF-44E3-9099-C40C66FF867C}">
                  <a14:compatExt spid="_x0000_s65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79</xdr:row>
          <xdr:rowOff>25400</xdr:rowOff>
        </xdr:from>
        <xdr:to>
          <xdr:col>4</xdr:col>
          <xdr:colOff>76200</xdr:colOff>
          <xdr:row>80</xdr:row>
          <xdr:rowOff>50800</xdr:rowOff>
        </xdr:to>
        <xdr:sp macro="" textlink="">
          <xdr:nvSpPr>
            <xdr:cNvPr id="65554" name="Drop Down 18" hidden="1">
              <a:extLst>
                <a:ext uri="{63B3BB69-23CF-44E3-9099-C40C66FF867C}">
                  <a14:compatExt spid="_x0000_s65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83</xdr:row>
          <xdr:rowOff>25400</xdr:rowOff>
        </xdr:from>
        <xdr:to>
          <xdr:col>4</xdr:col>
          <xdr:colOff>76200</xdr:colOff>
          <xdr:row>84</xdr:row>
          <xdr:rowOff>50800</xdr:rowOff>
        </xdr:to>
        <xdr:sp macro="" textlink="">
          <xdr:nvSpPr>
            <xdr:cNvPr id="65555" name="Drop Down 19" hidden="1">
              <a:extLst>
                <a:ext uri="{63B3BB69-23CF-44E3-9099-C40C66FF867C}">
                  <a14:compatExt spid="_x0000_s65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88</xdr:row>
          <xdr:rowOff>25400</xdr:rowOff>
        </xdr:from>
        <xdr:to>
          <xdr:col>5</xdr:col>
          <xdr:colOff>609600</xdr:colOff>
          <xdr:row>89</xdr:row>
          <xdr:rowOff>50800</xdr:rowOff>
        </xdr:to>
        <xdr:sp macro="" textlink="">
          <xdr:nvSpPr>
            <xdr:cNvPr id="65556" name="Drop Down 20" hidden="1">
              <a:extLst>
                <a:ext uri="{63B3BB69-23CF-44E3-9099-C40C66FF867C}">
                  <a14:compatExt spid="_x0000_s65556"/>
                </a:ext>
              </a:extLst>
            </xdr:cNvPr>
            <xdr:cNvSpPr/>
          </xdr:nvSpPr>
          <xdr:spPr>
            <a:xfrm>
              <a:off x="0" y="0"/>
              <a:ext cx="0" cy="0"/>
            </a:xfrm>
            <a:prstGeom prst="rect">
              <a:avLst/>
            </a:prstGeom>
          </xdr:spPr>
        </xdr:sp>
        <xdr:clientData/>
      </xdr:twoCellAnchor>
    </mc:Choice>
    <mc:Fallback/>
  </mc:AlternateContent>
  <xdr:twoCellAnchor>
    <xdr:from>
      <xdr:col>1</xdr:col>
      <xdr:colOff>38100</xdr:colOff>
      <xdr:row>55</xdr:row>
      <xdr:rowOff>12700</xdr:rowOff>
    </xdr:from>
    <xdr:to>
      <xdr:col>9</xdr:col>
      <xdr:colOff>228600</xdr:colOff>
      <xdr:row>70</xdr:row>
      <xdr:rowOff>41275</xdr:rowOff>
    </xdr:to>
    <xdr:graphicFrame macro="">
      <xdr:nvGraphicFramePr>
        <xdr:cNvPr id="2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54</xdr:row>
      <xdr:rowOff>123825</xdr:rowOff>
    </xdr:from>
    <xdr:to>
      <xdr:col>5</xdr:col>
      <xdr:colOff>1581150</xdr:colOff>
      <xdr:row>69</xdr:row>
      <xdr:rowOff>152400</xdr:rowOff>
    </xdr:to>
    <xdr:graphicFrame macro="">
      <xdr:nvGraphicFramePr>
        <xdr:cNvPr id="4814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228600</xdr:colOff>
          <xdr:row>28</xdr:row>
          <xdr:rowOff>12700</xdr:rowOff>
        </xdr:from>
        <xdr:to>
          <xdr:col>5</xdr:col>
          <xdr:colOff>1320800</xdr:colOff>
          <xdr:row>29</xdr:row>
          <xdr:rowOff>38100</xdr:rowOff>
        </xdr:to>
        <xdr:sp macro="" textlink="">
          <xdr:nvSpPr>
            <xdr:cNvPr id="48141" name="Drop Down 13" hidden="1">
              <a:extLst>
                <a:ext uri="{63B3BB69-23CF-44E3-9099-C40C66FF867C}">
                  <a14:compatExt spid="_x0000_s48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43</xdr:row>
          <xdr:rowOff>127000</xdr:rowOff>
        </xdr:from>
        <xdr:to>
          <xdr:col>5</xdr:col>
          <xdr:colOff>1384300</xdr:colOff>
          <xdr:row>45</xdr:row>
          <xdr:rowOff>38100</xdr:rowOff>
        </xdr:to>
        <xdr:sp macro="" textlink="">
          <xdr:nvSpPr>
            <xdr:cNvPr id="48142" name="Drop Down 14" hidden="1">
              <a:extLst>
                <a:ext uri="{63B3BB69-23CF-44E3-9099-C40C66FF867C}">
                  <a14:compatExt spid="_x0000_s48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49</xdr:row>
          <xdr:rowOff>88900</xdr:rowOff>
        </xdr:from>
        <xdr:to>
          <xdr:col>4</xdr:col>
          <xdr:colOff>292100</xdr:colOff>
          <xdr:row>51</xdr:row>
          <xdr:rowOff>12700</xdr:rowOff>
        </xdr:to>
        <xdr:sp macro="" textlink="">
          <xdr:nvSpPr>
            <xdr:cNvPr id="48143" name="Drop Down 15" hidden="1">
              <a:extLst>
                <a:ext uri="{63B3BB69-23CF-44E3-9099-C40C66FF867C}">
                  <a14:compatExt spid="_x0000_s48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75</xdr:row>
          <xdr:rowOff>12700</xdr:rowOff>
        </xdr:from>
        <xdr:to>
          <xdr:col>5</xdr:col>
          <xdr:colOff>939800</xdr:colOff>
          <xdr:row>76</xdr:row>
          <xdr:rowOff>38100</xdr:rowOff>
        </xdr:to>
        <xdr:sp macro="" textlink="">
          <xdr:nvSpPr>
            <xdr:cNvPr id="48146" name="Drop Down 18" hidden="1">
              <a:extLst>
                <a:ext uri="{63B3BB69-23CF-44E3-9099-C40C66FF867C}">
                  <a14:compatExt spid="_x0000_s48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79</xdr:row>
          <xdr:rowOff>12700</xdr:rowOff>
        </xdr:from>
        <xdr:to>
          <xdr:col>2</xdr:col>
          <xdr:colOff>393700</xdr:colOff>
          <xdr:row>80</xdr:row>
          <xdr:rowOff>50800</xdr:rowOff>
        </xdr:to>
        <xdr:sp macro="" textlink="">
          <xdr:nvSpPr>
            <xdr:cNvPr id="48147" name="Drop Down 19" hidden="1">
              <a:extLst>
                <a:ext uri="{63B3BB69-23CF-44E3-9099-C40C66FF867C}">
                  <a14:compatExt spid="_x0000_s48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83</xdr:row>
          <xdr:rowOff>12700</xdr:rowOff>
        </xdr:from>
        <xdr:to>
          <xdr:col>2</xdr:col>
          <xdr:colOff>368300</xdr:colOff>
          <xdr:row>84</xdr:row>
          <xdr:rowOff>50800</xdr:rowOff>
        </xdr:to>
        <xdr:sp macro="" textlink="">
          <xdr:nvSpPr>
            <xdr:cNvPr id="48148" name="Drop Down 20" hidden="1">
              <a:extLst>
                <a:ext uri="{63B3BB69-23CF-44E3-9099-C40C66FF867C}">
                  <a14:compatExt spid="_x0000_s48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88</xdr:row>
          <xdr:rowOff>38100</xdr:rowOff>
        </xdr:from>
        <xdr:to>
          <xdr:col>5</xdr:col>
          <xdr:colOff>215900</xdr:colOff>
          <xdr:row>89</xdr:row>
          <xdr:rowOff>63500</xdr:rowOff>
        </xdr:to>
        <xdr:sp macro="" textlink="">
          <xdr:nvSpPr>
            <xdr:cNvPr id="48149" name="Drop Down 21" hidden="1">
              <a:extLst>
                <a:ext uri="{63B3BB69-23CF-44E3-9099-C40C66FF867C}">
                  <a14:compatExt spid="_x0000_s48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10</xdr:row>
          <xdr:rowOff>25400</xdr:rowOff>
        </xdr:from>
        <xdr:to>
          <xdr:col>7</xdr:col>
          <xdr:colOff>355600</xdr:colOff>
          <xdr:row>14</xdr:row>
          <xdr:rowOff>76200</xdr:rowOff>
        </xdr:to>
        <xdr:sp macro="" textlink="">
          <xdr:nvSpPr>
            <xdr:cNvPr id="48150" name="Object 22" hidden="1">
              <a:extLst>
                <a:ext uri="{63B3BB69-23CF-44E3-9099-C40C66FF867C}">
                  <a14:compatExt spid="_x0000_s481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635000</xdr:colOff>
          <xdr:row>20</xdr:row>
          <xdr:rowOff>76200</xdr:rowOff>
        </xdr:from>
        <xdr:to>
          <xdr:col>1</xdr:col>
          <xdr:colOff>787400</xdr:colOff>
          <xdr:row>21</xdr:row>
          <xdr:rowOff>25400</xdr:rowOff>
        </xdr:to>
        <xdr:sp macro="" textlink="">
          <xdr:nvSpPr>
            <xdr:cNvPr id="48151" name="Spinner 23" hidden="1">
              <a:extLst>
                <a:ext uri="{63B3BB69-23CF-44E3-9099-C40C66FF867C}">
                  <a14:compatExt spid="_x0000_s48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635000</xdr:colOff>
          <xdr:row>21</xdr:row>
          <xdr:rowOff>76200</xdr:rowOff>
        </xdr:from>
        <xdr:to>
          <xdr:col>1</xdr:col>
          <xdr:colOff>787400</xdr:colOff>
          <xdr:row>22</xdr:row>
          <xdr:rowOff>25400</xdr:rowOff>
        </xdr:to>
        <xdr:sp macro="" textlink="">
          <xdr:nvSpPr>
            <xdr:cNvPr id="48152" name="Spinner 24" hidden="1">
              <a:extLst>
                <a:ext uri="{63B3BB69-23CF-44E3-9099-C40C66FF867C}">
                  <a14:compatExt spid="_x0000_s48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635000</xdr:colOff>
          <xdr:row>22</xdr:row>
          <xdr:rowOff>76200</xdr:rowOff>
        </xdr:from>
        <xdr:to>
          <xdr:col>1</xdr:col>
          <xdr:colOff>787400</xdr:colOff>
          <xdr:row>23</xdr:row>
          <xdr:rowOff>25400</xdr:rowOff>
        </xdr:to>
        <xdr:sp macro="" textlink="">
          <xdr:nvSpPr>
            <xdr:cNvPr id="48153" name="Spinner 25" hidden="1">
              <a:extLst>
                <a:ext uri="{63B3BB69-23CF-44E3-9099-C40C66FF867C}">
                  <a14:compatExt spid="_x0000_s48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635000</xdr:colOff>
          <xdr:row>23</xdr:row>
          <xdr:rowOff>76200</xdr:rowOff>
        </xdr:from>
        <xdr:to>
          <xdr:col>1</xdr:col>
          <xdr:colOff>787400</xdr:colOff>
          <xdr:row>24</xdr:row>
          <xdr:rowOff>25400</xdr:rowOff>
        </xdr:to>
        <xdr:sp macro="" textlink="">
          <xdr:nvSpPr>
            <xdr:cNvPr id="48154" name="Spinner 26" hidden="1">
              <a:extLst>
                <a:ext uri="{63B3BB69-23CF-44E3-9099-C40C66FF867C}">
                  <a14:compatExt spid="_x0000_s48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635000</xdr:colOff>
          <xdr:row>24</xdr:row>
          <xdr:rowOff>76200</xdr:rowOff>
        </xdr:from>
        <xdr:to>
          <xdr:col>1</xdr:col>
          <xdr:colOff>787400</xdr:colOff>
          <xdr:row>25</xdr:row>
          <xdr:rowOff>25400</xdr:rowOff>
        </xdr:to>
        <xdr:sp macro="" textlink="">
          <xdr:nvSpPr>
            <xdr:cNvPr id="48155" name="Spinner 27" hidden="1">
              <a:extLst>
                <a:ext uri="{63B3BB69-23CF-44E3-9099-C40C66FF867C}">
                  <a14:compatExt spid="_x0000_s48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812800</xdr:colOff>
          <xdr:row>25</xdr:row>
          <xdr:rowOff>50800</xdr:rowOff>
        </xdr:from>
        <xdr:to>
          <xdr:col>1</xdr:col>
          <xdr:colOff>990600</xdr:colOff>
          <xdr:row>25</xdr:row>
          <xdr:rowOff>228600</xdr:rowOff>
        </xdr:to>
        <xdr:sp macro="" textlink="">
          <xdr:nvSpPr>
            <xdr:cNvPr id="48156" name="Spinner 28" hidden="1">
              <a:extLst>
                <a:ext uri="{63B3BB69-23CF-44E3-9099-C40C66FF867C}">
                  <a14:compatExt spid="_x0000_s48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635000</xdr:colOff>
          <xdr:row>36</xdr:row>
          <xdr:rowOff>76200</xdr:rowOff>
        </xdr:from>
        <xdr:to>
          <xdr:col>1</xdr:col>
          <xdr:colOff>787400</xdr:colOff>
          <xdr:row>37</xdr:row>
          <xdr:rowOff>25400</xdr:rowOff>
        </xdr:to>
        <xdr:sp macro="" textlink="">
          <xdr:nvSpPr>
            <xdr:cNvPr id="48157" name="Spinner 29" hidden="1">
              <a:extLst>
                <a:ext uri="{63B3BB69-23CF-44E3-9099-C40C66FF867C}">
                  <a14:compatExt spid="_x0000_s48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635000</xdr:colOff>
          <xdr:row>37</xdr:row>
          <xdr:rowOff>76200</xdr:rowOff>
        </xdr:from>
        <xdr:to>
          <xdr:col>1</xdr:col>
          <xdr:colOff>787400</xdr:colOff>
          <xdr:row>38</xdr:row>
          <xdr:rowOff>25400</xdr:rowOff>
        </xdr:to>
        <xdr:sp macro="" textlink="">
          <xdr:nvSpPr>
            <xdr:cNvPr id="48158" name="Spinner 30" hidden="1">
              <a:extLst>
                <a:ext uri="{63B3BB69-23CF-44E3-9099-C40C66FF867C}">
                  <a14:compatExt spid="_x0000_s48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635000</xdr:colOff>
          <xdr:row>38</xdr:row>
          <xdr:rowOff>76200</xdr:rowOff>
        </xdr:from>
        <xdr:to>
          <xdr:col>1</xdr:col>
          <xdr:colOff>787400</xdr:colOff>
          <xdr:row>39</xdr:row>
          <xdr:rowOff>25400</xdr:rowOff>
        </xdr:to>
        <xdr:sp macro="" textlink="">
          <xdr:nvSpPr>
            <xdr:cNvPr id="48159" name="Spinner 31" hidden="1">
              <a:extLst>
                <a:ext uri="{63B3BB69-23CF-44E3-9099-C40C66FF867C}">
                  <a14:compatExt spid="_x0000_s48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635000</xdr:colOff>
          <xdr:row>39</xdr:row>
          <xdr:rowOff>76200</xdr:rowOff>
        </xdr:from>
        <xdr:to>
          <xdr:col>1</xdr:col>
          <xdr:colOff>787400</xdr:colOff>
          <xdr:row>40</xdr:row>
          <xdr:rowOff>25400</xdr:rowOff>
        </xdr:to>
        <xdr:sp macro="" textlink="">
          <xdr:nvSpPr>
            <xdr:cNvPr id="48160" name="Spinner 32" hidden="1">
              <a:extLst>
                <a:ext uri="{63B3BB69-23CF-44E3-9099-C40C66FF867C}">
                  <a14:compatExt spid="_x0000_s48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635000</xdr:colOff>
          <xdr:row>40</xdr:row>
          <xdr:rowOff>76200</xdr:rowOff>
        </xdr:from>
        <xdr:to>
          <xdr:col>1</xdr:col>
          <xdr:colOff>787400</xdr:colOff>
          <xdr:row>41</xdr:row>
          <xdr:rowOff>25400</xdr:rowOff>
        </xdr:to>
        <xdr:sp macro="" textlink="">
          <xdr:nvSpPr>
            <xdr:cNvPr id="48161" name="Spinner 33" hidden="1">
              <a:extLst>
                <a:ext uri="{63B3BB69-23CF-44E3-9099-C40C66FF867C}">
                  <a14:compatExt spid="_x0000_s48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812800</xdr:colOff>
          <xdr:row>41</xdr:row>
          <xdr:rowOff>50800</xdr:rowOff>
        </xdr:from>
        <xdr:to>
          <xdr:col>1</xdr:col>
          <xdr:colOff>990600</xdr:colOff>
          <xdr:row>41</xdr:row>
          <xdr:rowOff>228600</xdr:rowOff>
        </xdr:to>
        <xdr:sp macro="" textlink="">
          <xdr:nvSpPr>
            <xdr:cNvPr id="48162" name="Spinner 34" hidden="1">
              <a:extLst>
                <a:ext uri="{63B3BB69-23CF-44E3-9099-C40C66FF867C}">
                  <a14:compatExt spid="_x0000_s48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215900</xdr:colOff>
          <xdr:row>60</xdr:row>
          <xdr:rowOff>50800</xdr:rowOff>
        </xdr:from>
        <xdr:to>
          <xdr:col>6</xdr:col>
          <xdr:colOff>495300</xdr:colOff>
          <xdr:row>61</xdr:row>
          <xdr:rowOff>114300</xdr:rowOff>
        </xdr:to>
        <xdr:sp macro="" textlink="">
          <xdr:nvSpPr>
            <xdr:cNvPr id="48163" name="Spinner 35" hidden="1">
              <a:extLst>
                <a:ext uri="{63B3BB69-23CF-44E3-9099-C40C66FF867C}">
                  <a14:compatExt spid="_x0000_s48163"/>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523875</xdr:colOff>
      <xdr:row>31</xdr:row>
      <xdr:rowOff>104775</xdr:rowOff>
    </xdr:from>
    <xdr:to>
      <xdr:col>11</xdr:col>
      <xdr:colOff>0</xdr:colOff>
      <xdr:row>44</xdr:row>
      <xdr:rowOff>38100</xdr:rowOff>
    </xdr:to>
    <xdr:graphicFrame macro="">
      <xdr:nvGraphicFramePr>
        <xdr:cNvPr id="501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523875</xdr:colOff>
      <xdr:row>76</xdr:row>
      <xdr:rowOff>104775</xdr:rowOff>
    </xdr:from>
    <xdr:to>
      <xdr:col>10</xdr:col>
      <xdr:colOff>809625</xdr:colOff>
      <xdr:row>89</xdr:row>
      <xdr:rowOff>76200</xdr:rowOff>
    </xdr:to>
    <xdr:graphicFrame macro="">
      <xdr:nvGraphicFramePr>
        <xdr:cNvPr id="5019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0</xdr:colOff>
          <xdr:row>48</xdr:row>
          <xdr:rowOff>101600</xdr:rowOff>
        </xdr:from>
        <xdr:to>
          <xdr:col>8</xdr:col>
          <xdr:colOff>101600</xdr:colOff>
          <xdr:row>50</xdr:row>
          <xdr:rowOff>12700</xdr:rowOff>
        </xdr:to>
        <xdr:sp macro="" textlink="">
          <xdr:nvSpPr>
            <xdr:cNvPr id="50184" name="Drop Down 8" hidden="1">
              <a:extLst>
                <a:ext uri="{63B3BB69-23CF-44E3-9099-C40C66FF867C}">
                  <a14:compatExt spid="_x0000_s50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889000</xdr:colOff>
          <xdr:row>54</xdr:row>
          <xdr:rowOff>12700</xdr:rowOff>
        </xdr:from>
        <xdr:to>
          <xdr:col>7</xdr:col>
          <xdr:colOff>482600</xdr:colOff>
          <xdr:row>55</xdr:row>
          <xdr:rowOff>50800</xdr:rowOff>
        </xdr:to>
        <xdr:sp macro="" textlink="">
          <xdr:nvSpPr>
            <xdr:cNvPr id="50185" name="Drop Down 9" hidden="1">
              <a:extLst>
                <a:ext uri="{63B3BB69-23CF-44E3-9099-C40C66FF867C}">
                  <a14:compatExt spid="_x0000_s50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139700</xdr:colOff>
          <xdr:row>44</xdr:row>
          <xdr:rowOff>50800</xdr:rowOff>
        </xdr:from>
        <xdr:to>
          <xdr:col>7</xdr:col>
          <xdr:colOff>292100</xdr:colOff>
          <xdr:row>46</xdr:row>
          <xdr:rowOff>25400</xdr:rowOff>
        </xdr:to>
        <xdr:sp macro="" textlink="">
          <xdr:nvSpPr>
            <xdr:cNvPr id="50192" name="Spinner 16" hidden="1">
              <a:extLst>
                <a:ext uri="{63B3BB69-23CF-44E3-9099-C40C66FF867C}">
                  <a14:compatExt spid="_x0000_s50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139700</xdr:colOff>
          <xdr:row>89</xdr:row>
          <xdr:rowOff>114300</xdr:rowOff>
        </xdr:from>
        <xdr:to>
          <xdr:col>7</xdr:col>
          <xdr:colOff>292100</xdr:colOff>
          <xdr:row>91</xdr:row>
          <xdr:rowOff>88900</xdr:rowOff>
        </xdr:to>
        <xdr:sp macro="" textlink="">
          <xdr:nvSpPr>
            <xdr:cNvPr id="50193" name="Spinner 17" hidden="1">
              <a:extLst>
                <a:ext uri="{63B3BB69-23CF-44E3-9099-C40C66FF867C}">
                  <a14:compatExt spid="_x0000_s50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787400</xdr:colOff>
          <xdr:row>93</xdr:row>
          <xdr:rowOff>25400</xdr:rowOff>
        </xdr:from>
        <xdr:to>
          <xdr:col>7</xdr:col>
          <xdr:colOff>152400</xdr:colOff>
          <xdr:row>94</xdr:row>
          <xdr:rowOff>88900</xdr:rowOff>
        </xdr:to>
        <xdr:sp macro="" textlink="">
          <xdr:nvSpPr>
            <xdr:cNvPr id="50194" name="Drop Down 18" hidden="1">
              <a:extLst>
                <a:ext uri="{63B3BB69-23CF-44E3-9099-C40C66FF867C}">
                  <a14:compatExt spid="_x0000_s50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99</xdr:row>
          <xdr:rowOff>25400</xdr:rowOff>
        </xdr:from>
        <xdr:to>
          <xdr:col>7</xdr:col>
          <xdr:colOff>190500</xdr:colOff>
          <xdr:row>100</xdr:row>
          <xdr:rowOff>50800</xdr:rowOff>
        </xdr:to>
        <xdr:sp macro="" textlink="">
          <xdr:nvSpPr>
            <xdr:cNvPr id="50195" name="Drop Down 19" hidden="1">
              <a:extLst>
                <a:ext uri="{63B3BB69-23CF-44E3-9099-C40C66FF867C}">
                  <a14:compatExt spid="_x0000_s50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107</xdr:row>
          <xdr:rowOff>76200</xdr:rowOff>
        </xdr:from>
        <xdr:to>
          <xdr:col>6</xdr:col>
          <xdr:colOff>558800</xdr:colOff>
          <xdr:row>108</xdr:row>
          <xdr:rowOff>127000</xdr:rowOff>
        </xdr:to>
        <xdr:sp macro="" textlink="">
          <xdr:nvSpPr>
            <xdr:cNvPr id="50196" name="Drop Down 20" hidden="1">
              <a:extLst>
                <a:ext uri="{63B3BB69-23CF-44E3-9099-C40C66FF867C}">
                  <a14:compatExt spid="_x0000_s50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622300</xdr:colOff>
          <xdr:row>6</xdr:row>
          <xdr:rowOff>0</xdr:rowOff>
        </xdr:from>
        <xdr:to>
          <xdr:col>8</xdr:col>
          <xdr:colOff>177800</xdr:colOff>
          <xdr:row>10</xdr:row>
          <xdr:rowOff>76200</xdr:rowOff>
        </xdr:to>
        <xdr:sp macro="" textlink="">
          <xdr:nvSpPr>
            <xdr:cNvPr id="50198" name="Object 22" hidden="1">
              <a:extLst>
                <a:ext uri="{63B3BB69-23CF-44E3-9099-C40C66FF867C}">
                  <a14:compatExt spid="_x0000_s50198"/>
                </a:ext>
              </a:extLst>
            </xdr:cNvPr>
            <xdr:cNvSpPr/>
          </xdr:nvSpPr>
          <xdr:spPr>
            <a:xfrm>
              <a:off x="0" y="0"/>
              <a:ext cx="0" cy="0"/>
            </a:xfrm>
            <a:prstGeom prst="rect">
              <a:avLst/>
            </a:prstGeom>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5</xdr:col>
      <xdr:colOff>523875</xdr:colOff>
      <xdr:row>31</xdr:row>
      <xdr:rowOff>104775</xdr:rowOff>
    </xdr:from>
    <xdr:to>
      <xdr:col>11</xdr:col>
      <xdr:colOff>314325</xdr:colOff>
      <xdr:row>44</xdr:row>
      <xdr:rowOff>38100</xdr:rowOff>
    </xdr:to>
    <xdr:graphicFrame macro="">
      <xdr:nvGraphicFramePr>
        <xdr:cNvPr id="4916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523875</xdr:colOff>
      <xdr:row>76</xdr:row>
      <xdr:rowOff>104775</xdr:rowOff>
    </xdr:from>
    <xdr:to>
      <xdr:col>11</xdr:col>
      <xdr:colOff>314325</xdr:colOff>
      <xdr:row>89</xdr:row>
      <xdr:rowOff>38100</xdr:rowOff>
    </xdr:to>
    <xdr:graphicFrame macro="">
      <xdr:nvGraphicFramePr>
        <xdr:cNvPr id="49188"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25400</xdr:colOff>
      <xdr:row>73</xdr:row>
      <xdr:rowOff>12700</xdr:rowOff>
    </xdr:from>
    <xdr:to>
      <xdr:col>18</xdr:col>
      <xdr:colOff>38100</xdr:colOff>
      <xdr:row>74</xdr:row>
      <xdr:rowOff>12700</xdr:rowOff>
    </xdr:to>
    <xdr:sp macro="" textlink="">
      <xdr:nvSpPr>
        <xdr:cNvPr id="49169" name="SpinButton1" hidden="1">
          <a:extLst>
            <a:ext uri="{63B3BB69-23CF-44E3-9099-C40C66FF867C}">
              <a14:compatExt xmlns:a14="http://schemas.microsoft.com/office/drawing/2010/main" spid="_x0000_s49169"/>
            </a:ext>
          </a:extLst>
        </xdr:cNvPr>
        <xdr:cNvSpPr/>
      </xdr:nvSpPr>
      <xdr:spPr>
        <a:xfrm>
          <a:off x="0" y="0"/>
          <a:ext cx="0" cy="0"/>
        </a:xfrm>
        <a:prstGeom prst="rect">
          <a:avLst/>
        </a:prstGeom>
      </xdr:spPr>
    </xdr:sp>
    <xdr:clientData/>
  </xdr:twoCellAnchor>
  <xdr:twoCellAnchor editAs="oneCell">
    <xdr:from>
      <xdr:col>9</xdr:col>
      <xdr:colOff>50800</xdr:colOff>
      <xdr:row>23</xdr:row>
      <xdr:rowOff>0</xdr:rowOff>
    </xdr:from>
    <xdr:to>
      <xdr:col>9</xdr:col>
      <xdr:colOff>215900</xdr:colOff>
      <xdr:row>24</xdr:row>
      <xdr:rowOff>25400</xdr:rowOff>
    </xdr:to>
    <xdr:sp macro="" textlink="">
      <xdr:nvSpPr>
        <xdr:cNvPr id="49174" name="CheckBox11" hidden="1">
          <a:extLst>
            <a:ext uri="{63B3BB69-23CF-44E3-9099-C40C66FF867C}">
              <a14:compatExt xmlns:a14="http://schemas.microsoft.com/office/drawing/2010/main" spid="_x0000_s49174"/>
            </a:ext>
          </a:extLst>
        </xdr:cNvPr>
        <xdr:cNvSpPr/>
      </xdr:nvSpPr>
      <xdr:spPr>
        <a:xfrm>
          <a:off x="0" y="0"/>
          <a:ext cx="0" cy="0"/>
        </a:xfrm>
        <a:prstGeom prst="rect">
          <a:avLst/>
        </a:prstGeom>
      </xdr:spPr>
    </xdr:sp>
    <xdr:clientData/>
  </xdr:twoCellAnchor>
  <xdr:twoCellAnchor editAs="oneCell">
    <xdr:from>
      <xdr:col>9</xdr:col>
      <xdr:colOff>50800</xdr:colOff>
      <xdr:row>24</xdr:row>
      <xdr:rowOff>0</xdr:rowOff>
    </xdr:from>
    <xdr:to>
      <xdr:col>9</xdr:col>
      <xdr:colOff>215900</xdr:colOff>
      <xdr:row>25</xdr:row>
      <xdr:rowOff>25400</xdr:rowOff>
    </xdr:to>
    <xdr:sp macro="" textlink="">
      <xdr:nvSpPr>
        <xdr:cNvPr id="49175" name="CheckBox12" hidden="1">
          <a:extLst>
            <a:ext uri="{63B3BB69-23CF-44E3-9099-C40C66FF867C}">
              <a14:compatExt xmlns:a14="http://schemas.microsoft.com/office/drawing/2010/main" spid="_x0000_s49175"/>
            </a:ext>
          </a:extLst>
        </xdr:cNvPr>
        <xdr:cNvSpPr/>
      </xdr:nvSpPr>
      <xdr:spPr>
        <a:xfrm>
          <a:off x="0" y="0"/>
          <a:ext cx="0" cy="0"/>
        </a:xfrm>
        <a:prstGeom prst="rect">
          <a:avLst/>
        </a:prstGeom>
      </xdr:spPr>
    </xdr:sp>
    <xdr:clientData/>
  </xdr:twoCellAnchor>
  <xdr:twoCellAnchor editAs="oneCell">
    <xdr:from>
      <xdr:col>9</xdr:col>
      <xdr:colOff>50800</xdr:colOff>
      <xdr:row>25</xdr:row>
      <xdr:rowOff>0</xdr:rowOff>
    </xdr:from>
    <xdr:to>
      <xdr:col>9</xdr:col>
      <xdr:colOff>215900</xdr:colOff>
      <xdr:row>26</xdr:row>
      <xdr:rowOff>25400</xdr:rowOff>
    </xdr:to>
    <xdr:sp macro="" textlink="">
      <xdr:nvSpPr>
        <xdr:cNvPr id="49176" name="CheckBox13" hidden="1">
          <a:extLst>
            <a:ext uri="{63B3BB69-23CF-44E3-9099-C40C66FF867C}">
              <a14:compatExt xmlns:a14="http://schemas.microsoft.com/office/drawing/2010/main" spid="_x0000_s49176"/>
            </a:ext>
          </a:extLst>
        </xdr:cNvPr>
        <xdr:cNvSpPr/>
      </xdr:nvSpPr>
      <xdr:spPr>
        <a:xfrm>
          <a:off x="0" y="0"/>
          <a:ext cx="0" cy="0"/>
        </a:xfrm>
        <a:prstGeom prst="rect">
          <a:avLst/>
        </a:prstGeom>
      </xdr:spPr>
    </xdr:sp>
    <xdr:clientData/>
  </xdr:twoCellAnchor>
  <xdr:twoCellAnchor editAs="oneCell">
    <xdr:from>
      <xdr:col>9</xdr:col>
      <xdr:colOff>50800</xdr:colOff>
      <xdr:row>26</xdr:row>
      <xdr:rowOff>0</xdr:rowOff>
    </xdr:from>
    <xdr:to>
      <xdr:col>9</xdr:col>
      <xdr:colOff>215900</xdr:colOff>
      <xdr:row>27</xdr:row>
      <xdr:rowOff>25400</xdr:rowOff>
    </xdr:to>
    <xdr:sp macro="" textlink="">
      <xdr:nvSpPr>
        <xdr:cNvPr id="49177" name="CheckBox14" hidden="1">
          <a:extLst>
            <a:ext uri="{63B3BB69-23CF-44E3-9099-C40C66FF867C}">
              <a14:compatExt xmlns:a14="http://schemas.microsoft.com/office/drawing/2010/main" spid="_x0000_s49177"/>
            </a:ext>
          </a:extLst>
        </xdr:cNvPr>
        <xdr:cNvSpPr/>
      </xdr:nvSpPr>
      <xdr:spPr>
        <a:xfrm>
          <a:off x="0" y="0"/>
          <a:ext cx="0" cy="0"/>
        </a:xfrm>
        <a:prstGeom prst="rect">
          <a:avLst/>
        </a:prstGeom>
      </xdr:spPr>
    </xdr:sp>
    <xdr:clientData/>
  </xdr:twoCellAnchor>
  <xdr:twoCellAnchor editAs="oneCell">
    <xdr:from>
      <xdr:col>9</xdr:col>
      <xdr:colOff>50800</xdr:colOff>
      <xdr:row>27</xdr:row>
      <xdr:rowOff>0</xdr:rowOff>
    </xdr:from>
    <xdr:to>
      <xdr:col>9</xdr:col>
      <xdr:colOff>215900</xdr:colOff>
      <xdr:row>28</xdr:row>
      <xdr:rowOff>25400</xdr:rowOff>
    </xdr:to>
    <xdr:sp macro="" textlink="">
      <xdr:nvSpPr>
        <xdr:cNvPr id="49178" name="CheckBox15" hidden="1">
          <a:extLst>
            <a:ext uri="{63B3BB69-23CF-44E3-9099-C40C66FF867C}">
              <a14:compatExt xmlns:a14="http://schemas.microsoft.com/office/drawing/2010/main" spid="_x0000_s49178"/>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48</xdr:row>
          <xdr:rowOff>25400</xdr:rowOff>
        </xdr:from>
        <xdr:to>
          <xdr:col>5</xdr:col>
          <xdr:colOff>546100</xdr:colOff>
          <xdr:row>49</xdr:row>
          <xdr:rowOff>50800</xdr:rowOff>
        </xdr:to>
        <xdr:sp macro="" textlink="">
          <xdr:nvSpPr>
            <xdr:cNvPr id="49180" name="Drop Down 28" hidden="1">
              <a:extLst>
                <a:ext uri="{63B3BB69-23CF-44E3-9099-C40C66FF867C}">
                  <a14:compatExt spid="_x0000_s49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54</xdr:row>
          <xdr:rowOff>25400</xdr:rowOff>
        </xdr:from>
        <xdr:to>
          <xdr:col>5</xdr:col>
          <xdr:colOff>368300</xdr:colOff>
          <xdr:row>55</xdr:row>
          <xdr:rowOff>50800</xdr:rowOff>
        </xdr:to>
        <xdr:sp macro="" textlink="">
          <xdr:nvSpPr>
            <xdr:cNvPr id="49181" name="Drop Down 29" hidden="1">
              <a:extLst>
                <a:ext uri="{63B3BB69-23CF-44E3-9099-C40C66FF867C}">
                  <a14:compatExt spid="_x0000_s49181"/>
                </a:ext>
              </a:extLst>
            </xdr:cNvPr>
            <xdr:cNvSpPr/>
          </xdr:nvSpPr>
          <xdr:spPr>
            <a:xfrm>
              <a:off x="0" y="0"/>
              <a:ext cx="0" cy="0"/>
            </a:xfrm>
            <a:prstGeom prst="rect">
              <a:avLst/>
            </a:prstGeom>
          </xdr:spPr>
        </xdr:sp>
        <xdr:clientData/>
      </xdr:twoCellAnchor>
    </mc:Choice>
    <mc:Fallback/>
  </mc:AlternateContent>
  <xdr:twoCellAnchor editAs="oneCell">
    <xdr:from>
      <xdr:col>9</xdr:col>
      <xdr:colOff>50800</xdr:colOff>
      <xdr:row>68</xdr:row>
      <xdr:rowOff>0</xdr:rowOff>
    </xdr:from>
    <xdr:to>
      <xdr:col>9</xdr:col>
      <xdr:colOff>215900</xdr:colOff>
      <xdr:row>69</xdr:row>
      <xdr:rowOff>25400</xdr:rowOff>
    </xdr:to>
    <xdr:sp macro="" textlink="">
      <xdr:nvSpPr>
        <xdr:cNvPr id="49183" name="CheckBox1" hidden="1">
          <a:extLst>
            <a:ext uri="{63B3BB69-23CF-44E3-9099-C40C66FF867C}">
              <a14:compatExt xmlns:a14="http://schemas.microsoft.com/office/drawing/2010/main" spid="_x0000_s49183"/>
            </a:ext>
          </a:extLst>
        </xdr:cNvPr>
        <xdr:cNvSpPr/>
      </xdr:nvSpPr>
      <xdr:spPr>
        <a:xfrm>
          <a:off x="0" y="0"/>
          <a:ext cx="0" cy="0"/>
        </a:xfrm>
        <a:prstGeom prst="rect">
          <a:avLst/>
        </a:prstGeom>
      </xdr:spPr>
    </xdr:sp>
    <xdr:clientData/>
  </xdr:twoCellAnchor>
  <xdr:twoCellAnchor editAs="oneCell">
    <xdr:from>
      <xdr:col>9</xdr:col>
      <xdr:colOff>50800</xdr:colOff>
      <xdr:row>69</xdr:row>
      <xdr:rowOff>0</xdr:rowOff>
    </xdr:from>
    <xdr:to>
      <xdr:col>9</xdr:col>
      <xdr:colOff>215900</xdr:colOff>
      <xdr:row>70</xdr:row>
      <xdr:rowOff>25400</xdr:rowOff>
    </xdr:to>
    <xdr:sp macro="" textlink="">
      <xdr:nvSpPr>
        <xdr:cNvPr id="49184" name="CheckBox2" hidden="1">
          <a:extLst>
            <a:ext uri="{63B3BB69-23CF-44E3-9099-C40C66FF867C}">
              <a14:compatExt xmlns:a14="http://schemas.microsoft.com/office/drawing/2010/main" spid="_x0000_s49184"/>
            </a:ext>
          </a:extLst>
        </xdr:cNvPr>
        <xdr:cNvSpPr/>
      </xdr:nvSpPr>
      <xdr:spPr>
        <a:xfrm>
          <a:off x="0" y="0"/>
          <a:ext cx="0" cy="0"/>
        </a:xfrm>
        <a:prstGeom prst="rect">
          <a:avLst/>
        </a:prstGeom>
      </xdr:spPr>
    </xdr:sp>
    <xdr:clientData/>
  </xdr:twoCellAnchor>
  <xdr:twoCellAnchor editAs="oneCell">
    <xdr:from>
      <xdr:col>9</xdr:col>
      <xdr:colOff>50800</xdr:colOff>
      <xdr:row>70</xdr:row>
      <xdr:rowOff>0</xdr:rowOff>
    </xdr:from>
    <xdr:to>
      <xdr:col>9</xdr:col>
      <xdr:colOff>215900</xdr:colOff>
      <xdr:row>71</xdr:row>
      <xdr:rowOff>25400</xdr:rowOff>
    </xdr:to>
    <xdr:sp macro="" textlink="">
      <xdr:nvSpPr>
        <xdr:cNvPr id="49185" name="CheckBox3" hidden="1">
          <a:extLst>
            <a:ext uri="{63B3BB69-23CF-44E3-9099-C40C66FF867C}">
              <a14:compatExt xmlns:a14="http://schemas.microsoft.com/office/drawing/2010/main" spid="_x0000_s49185"/>
            </a:ext>
          </a:extLst>
        </xdr:cNvPr>
        <xdr:cNvSpPr/>
      </xdr:nvSpPr>
      <xdr:spPr>
        <a:xfrm>
          <a:off x="0" y="0"/>
          <a:ext cx="0" cy="0"/>
        </a:xfrm>
        <a:prstGeom prst="rect">
          <a:avLst/>
        </a:prstGeom>
      </xdr:spPr>
    </xdr:sp>
    <xdr:clientData/>
  </xdr:twoCellAnchor>
  <xdr:twoCellAnchor editAs="oneCell">
    <xdr:from>
      <xdr:col>9</xdr:col>
      <xdr:colOff>50800</xdr:colOff>
      <xdr:row>71</xdr:row>
      <xdr:rowOff>0</xdr:rowOff>
    </xdr:from>
    <xdr:to>
      <xdr:col>9</xdr:col>
      <xdr:colOff>215900</xdr:colOff>
      <xdr:row>72</xdr:row>
      <xdr:rowOff>25400</xdr:rowOff>
    </xdr:to>
    <xdr:sp macro="" textlink="">
      <xdr:nvSpPr>
        <xdr:cNvPr id="49186" name="CheckBox4" hidden="1">
          <a:extLst>
            <a:ext uri="{63B3BB69-23CF-44E3-9099-C40C66FF867C}">
              <a14:compatExt xmlns:a14="http://schemas.microsoft.com/office/drawing/2010/main" spid="_x0000_s49186"/>
            </a:ext>
          </a:extLst>
        </xdr:cNvPr>
        <xdr:cNvSpPr/>
      </xdr:nvSpPr>
      <xdr:spPr>
        <a:xfrm>
          <a:off x="0" y="0"/>
          <a:ext cx="0" cy="0"/>
        </a:xfrm>
        <a:prstGeom prst="rect">
          <a:avLst/>
        </a:prstGeom>
      </xdr:spPr>
    </xdr:sp>
    <xdr:clientData/>
  </xdr:twoCellAnchor>
  <xdr:twoCellAnchor editAs="oneCell">
    <xdr:from>
      <xdr:col>9</xdr:col>
      <xdr:colOff>44450</xdr:colOff>
      <xdr:row>72</xdr:row>
      <xdr:rowOff>0</xdr:rowOff>
    </xdr:from>
    <xdr:to>
      <xdr:col>9</xdr:col>
      <xdr:colOff>158750</xdr:colOff>
      <xdr:row>73</xdr:row>
      <xdr:rowOff>19050</xdr:rowOff>
    </xdr:to>
    <xdr:pic>
      <xdr:nvPicPr>
        <xdr:cNvPr id="49187" name="CheckBox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67650" y="12363450"/>
          <a:ext cx="114300" cy="196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139700</xdr:colOff>
          <xdr:row>44</xdr:row>
          <xdr:rowOff>50800</xdr:rowOff>
        </xdr:from>
        <xdr:to>
          <xdr:col>7</xdr:col>
          <xdr:colOff>292100</xdr:colOff>
          <xdr:row>46</xdr:row>
          <xdr:rowOff>25400</xdr:rowOff>
        </xdr:to>
        <xdr:sp macro="" textlink="">
          <xdr:nvSpPr>
            <xdr:cNvPr id="49189" name="Spinner 37" hidden="1">
              <a:extLst>
                <a:ext uri="{63B3BB69-23CF-44E3-9099-C40C66FF867C}">
                  <a14:compatExt spid="_x0000_s49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139700</xdr:colOff>
          <xdr:row>89</xdr:row>
          <xdr:rowOff>50800</xdr:rowOff>
        </xdr:from>
        <xdr:to>
          <xdr:col>7</xdr:col>
          <xdr:colOff>292100</xdr:colOff>
          <xdr:row>91</xdr:row>
          <xdr:rowOff>25400</xdr:rowOff>
        </xdr:to>
        <xdr:sp macro="" textlink="">
          <xdr:nvSpPr>
            <xdr:cNvPr id="49190" name="Spinner 38" hidden="1">
              <a:extLst>
                <a:ext uri="{63B3BB69-23CF-44E3-9099-C40C66FF867C}">
                  <a14:compatExt spid="_x0000_s49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508000</xdr:colOff>
          <xdr:row>93</xdr:row>
          <xdr:rowOff>0</xdr:rowOff>
        </xdr:from>
        <xdr:to>
          <xdr:col>3</xdr:col>
          <xdr:colOff>139700</xdr:colOff>
          <xdr:row>94</xdr:row>
          <xdr:rowOff>25400</xdr:rowOff>
        </xdr:to>
        <xdr:sp macro="" textlink="">
          <xdr:nvSpPr>
            <xdr:cNvPr id="49191" name="Drop Down 39" hidden="1">
              <a:extLst>
                <a:ext uri="{63B3BB69-23CF-44E3-9099-C40C66FF867C}">
                  <a14:compatExt spid="_x0000_s49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812800</xdr:colOff>
          <xdr:row>98</xdr:row>
          <xdr:rowOff>101600</xdr:rowOff>
        </xdr:from>
        <xdr:to>
          <xdr:col>5</xdr:col>
          <xdr:colOff>1130300</xdr:colOff>
          <xdr:row>100</xdr:row>
          <xdr:rowOff>12700</xdr:rowOff>
        </xdr:to>
        <xdr:sp macro="" textlink="">
          <xdr:nvSpPr>
            <xdr:cNvPr id="49192" name="Drop Down 40" hidden="1">
              <a:extLst>
                <a:ext uri="{63B3BB69-23CF-44E3-9099-C40C66FF867C}">
                  <a14:compatExt spid="_x0000_s49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106</xdr:row>
          <xdr:rowOff>12700</xdr:rowOff>
        </xdr:from>
        <xdr:to>
          <xdr:col>5</xdr:col>
          <xdr:colOff>381000</xdr:colOff>
          <xdr:row>107</xdr:row>
          <xdr:rowOff>50800</xdr:rowOff>
        </xdr:to>
        <xdr:sp macro="" textlink="">
          <xdr:nvSpPr>
            <xdr:cNvPr id="49193" name="Drop Down 41" hidden="1">
              <a:extLst>
                <a:ext uri="{63B3BB69-23CF-44E3-9099-C40C66FF867C}">
                  <a14:compatExt spid="_x0000_s49193"/>
                </a:ext>
              </a:extLst>
            </xdr:cNvPr>
            <xdr:cNvSpPr/>
          </xdr:nvSpPr>
          <xdr:spPr>
            <a:xfrm>
              <a:off x="0" y="0"/>
              <a:ext cx="0" cy="0"/>
            </a:xfrm>
            <a:prstGeom prst="rect">
              <a:avLst/>
            </a:prstGeom>
          </xdr:spPr>
        </xdr:sp>
        <xdr:clientData/>
      </xdr:twoCellAnchor>
    </mc:Choice>
    <mc:Fallback/>
  </mc:AlternateContent>
  <xdr:twoCellAnchor editAs="oneCell">
    <xdr:from>
      <xdr:col>17</xdr:col>
      <xdr:colOff>25400</xdr:colOff>
      <xdr:row>73</xdr:row>
      <xdr:rowOff>12700</xdr:rowOff>
    </xdr:from>
    <xdr:to>
      <xdr:col>18</xdr:col>
      <xdr:colOff>38100</xdr:colOff>
      <xdr:row>74</xdr:row>
      <xdr:rowOff>12700</xdr:rowOff>
    </xdr:to>
    <xdr:pic>
      <xdr:nvPicPr>
        <xdr:cNvPr id="2" name="SpinButton1"/>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817600" y="12166600"/>
          <a:ext cx="685800" cy="165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50800</xdr:colOff>
      <xdr:row>23</xdr:row>
      <xdr:rowOff>0</xdr:rowOff>
    </xdr:from>
    <xdr:to>
      <xdr:col>9</xdr:col>
      <xdr:colOff>215900</xdr:colOff>
      <xdr:row>24</xdr:row>
      <xdr:rowOff>25400</xdr:rowOff>
    </xdr:to>
    <xdr:pic>
      <xdr:nvPicPr>
        <xdr:cNvPr id="3" name="CheckBox11"/>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458200" y="3771900"/>
          <a:ext cx="1651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50800</xdr:colOff>
      <xdr:row>24</xdr:row>
      <xdr:rowOff>0</xdr:rowOff>
    </xdr:from>
    <xdr:to>
      <xdr:col>9</xdr:col>
      <xdr:colOff>215900</xdr:colOff>
      <xdr:row>25</xdr:row>
      <xdr:rowOff>25400</xdr:rowOff>
    </xdr:to>
    <xdr:pic>
      <xdr:nvPicPr>
        <xdr:cNvPr id="4" name="CheckBox12"/>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458200" y="3949700"/>
          <a:ext cx="1651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50800</xdr:colOff>
      <xdr:row>25</xdr:row>
      <xdr:rowOff>0</xdr:rowOff>
    </xdr:from>
    <xdr:to>
      <xdr:col>9</xdr:col>
      <xdr:colOff>215900</xdr:colOff>
      <xdr:row>26</xdr:row>
      <xdr:rowOff>25400</xdr:rowOff>
    </xdr:to>
    <xdr:pic>
      <xdr:nvPicPr>
        <xdr:cNvPr id="5" name="CheckBox13"/>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458200" y="4127500"/>
          <a:ext cx="1651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50800</xdr:colOff>
      <xdr:row>26</xdr:row>
      <xdr:rowOff>0</xdr:rowOff>
    </xdr:from>
    <xdr:to>
      <xdr:col>9</xdr:col>
      <xdr:colOff>215900</xdr:colOff>
      <xdr:row>27</xdr:row>
      <xdr:rowOff>25400</xdr:rowOff>
    </xdr:to>
    <xdr:pic>
      <xdr:nvPicPr>
        <xdr:cNvPr id="6" name="CheckBox14"/>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458200" y="4305300"/>
          <a:ext cx="1651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50800</xdr:colOff>
      <xdr:row>27</xdr:row>
      <xdr:rowOff>0</xdr:rowOff>
    </xdr:from>
    <xdr:to>
      <xdr:col>9</xdr:col>
      <xdr:colOff>215900</xdr:colOff>
      <xdr:row>28</xdr:row>
      <xdr:rowOff>25400</xdr:rowOff>
    </xdr:to>
    <xdr:pic>
      <xdr:nvPicPr>
        <xdr:cNvPr id="7" name="CheckBox15"/>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58200" y="4483100"/>
          <a:ext cx="1651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50800</xdr:colOff>
      <xdr:row>68</xdr:row>
      <xdr:rowOff>0</xdr:rowOff>
    </xdr:from>
    <xdr:to>
      <xdr:col>9</xdr:col>
      <xdr:colOff>215900</xdr:colOff>
      <xdr:row>69</xdr:row>
      <xdr:rowOff>25400</xdr:rowOff>
    </xdr:to>
    <xdr:pic>
      <xdr:nvPicPr>
        <xdr:cNvPr id="8" name="CheckBox1"/>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458200" y="11264900"/>
          <a:ext cx="1651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50800</xdr:colOff>
      <xdr:row>69</xdr:row>
      <xdr:rowOff>0</xdr:rowOff>
    </xdr:from>
    <xdr:to>
      <xdr:col>9</xdr:col>
      <xdr:colOff>215900</xdr:colOff>
      <xdr:row>70</xdr:row>
      <xdr:rowOff>25400</xdr:rowOff>
    </xdr:to>
    <xdr:pic>
      <xdr:nvPicPr>
        <xdr:cNvPr id="9" name="CheckBox2"/>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458200" y="11442700"/>
          <a:ext cx="1651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50800</xdr:colOff>
      <xdr:row>70</xdr:row>
      <xdr:rowOff>0</xdr:rowOff>
    </xdr:from>
    <xdr:to>
      <xdr:col>9</xdr:col>
      <xdr:colOff>215900</xdr:colOff>
      <xdr:row>71</xdr:row>
      <xdr:rowOff>25400</xdr:rowOff>
    </xdr:to>
    <xdr:pic>
      <xdr:nvPicPr>
        <xdr:cNvPr id="10" name="CheckBox3"/>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458200" y="11620500"/>
          <a:ext cx="1651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50800</xdr:colOff>
      <xdr:row>71</xdr:row>
      <xdr:rowOff>0</xdr:rowOff>
    </xdr:from>
    <xdr:to>
      <xdr:col>9</xdr:col>
      <xdr:colOff>215900</xdr:colOff>
      <xdr:row>72</xdr:row>
      <xdr:rowOff>25400</xdr:rowOff>
    </xdr:to>
    <xdr:pic>
      <xdr:nvPicPr>
        <xdr:cNvPr id="11" name="CheckBox4"/>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458200" y="11798300"/>
          <a:ext cx="1651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257175</xdr:colOff>
      <xdr:row>0</xdr:row>
      <xdr:rowOff>9525</xdr:rowOff>
    </xdr:from>
    <xdr:to>
      <xdr:col>10</xdr:col>
      <xdr:colOff>371475</xdr:colOff>
      <xdr:row>15</xdr:row>
      <xdr:rowOff>133350</xdr:rowOff>
    </xdr:to>
    <xdr:graphicFrame macro="">
      <xdr:nvGraphicFramePr>
        <xdr:cNvPr id="532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10</xdr:col>
          <xdr:colOff>635000</xdr:colOff>
          <xdr:row>4</xdr:row>
          <xdr:rowOff>127000</xdr:rowOff>
        </xdr:from>
        <xdr:to>
          <xdr:col>11</xdr:col>
          <xdr:colOff>482600</xdr:colOff>
          <xdr:row>7</xdr:row>
          <xdr:rowOff>38100</xdr:rowOff>
        </xdr:to>
        <xdr:sp macro="" textlink="">
          <xdr:nvSpPr>
            <xdr:cNvPr id="53249" name="Spinner 1" hidden="1">
              <a:extLst>
                <a:ext uri="{63B3BB69-23CF-44E3-9099-C40C66FF867C}">
                  <a14:compatExt spid="_x0000_s53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35</xdr:row>
          <xdr:rowOff>25400</xdr:rowOff>
        </xdr:from>
        <xdr:to>
          <xdr:col>8</xdr:col>
          <xdr:colOff>457200</xdr:colOff>
          <xdr:row>36</xdr:row>
          <xdr:rowOff>88900</xdr:rowOff>
        </xdr:to>
        <xdr:sp macro="" textlink="">
          <xdr:nvSpPr>
            <xdr:cNvPr id="53251" name="Drop Down 3" hidden="1">
              <a:extLst>
                <a:ext uri="{63B3BB69-23CF-44E3-9099-C40C66FF867C}">
                  <a14:compatExt spid="_x0000_s53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39</xdr:row>
          <xdr:rowOff>12700</xdr:rowOff>
        </xdr:from>
        <xdr:to>
          <xdr:col>11</xdr:col>
          <xdr:colOff>139700</xdr:colOff>
          <xdr:row>40</xdr:row>
          <xdr:rowOff>50800</xdr:rowOff>
        </xdr:to>
        <xdr:sp macro="" textlink="">
          <xdr:nvSpPr>
            <xdr:cNvPr id="53252" name="Drop Down 4" hidden="1">
              <a:extLst>
                <a:ext uri="{63B3BB69-23CF-44E3-9099-C40C66FF867C}">
                  <a14:compatExt spid="_x0000_s53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43</xdr:row>
          <xdr:rowOff>12700</xdr:rowOff>
        </xdr:from>
        <xdr:to>
          <xdr:col>11</xdr:col>
          <xdr:colOff>254000</xdr:colOff>
          <xdr:row>44</xdr:row>
          <xdr:rowOff>50800</xdr:rowOff>
        </xdr:to>
        <xdr:sp macro="" textlink="">
          <xdr:nvSpPr>
            <xdr:cNvPr id="53253" name="Drop Down 5" hidden="1">
              <a:extLst>
                <a:ext uri="{63B3BB69-23CF-44E3-9099-C40C66FF867C}">
                  <a14:compatExt spid="_x0000_s53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50</xdr:row>
          <xdr:rowOff>12700</xdr:rowOff>
        </xdr:from>
        <xdr:to>
          <xdr:col>7</xdr:col>
          <xdr:colOff>571500</xdr:colOff>
          <xdr:row>51</xdr:row>
          <xdr:rowOff>50800</xdr:rowOff>
        </xdr:to>
        <xdr:sp macro="" textlink="">
          <xdr:nvSpPr>
            <xdr:cNvPr id="53254" name="Drop Down 6" hidden="1">
              <a:extLst>
                <a:ext uri="{63B3BB69-23CF-44E3-9099-C40C66FF867C}">
                  <a14:compatExt spid="_x0000_s53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58</xdr:row>
          <xdr:rowOff>12700</xdr:rowOff>
        </xdr:from>
        <xdr:to>
          <xdr:col>7</xdr:col>
          <xdr:colOff>355600</xdr:colOff>
          <xdr:row>59</xdr:row>
          <xdr:rowOff>50800</xdr:rowOff>
        </xdr:to>
        <xdr:sp macro="" textlink="">
          <xdr:nvSpPr>
            <xdr:cNvPr id="53255" name="Drop Down 7" hidden="1">
              <a:extLst>
                <a:ext uri="{63B3BB69-23CF-44E3-9099-C40C66FF867C}">
                  <a14:compatExt spid="_x0000_s53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69</xdr:row>
          <xdr:rowOff>12700</xdr:rowOff>
        </xdr:from>
        <xdr:to>
          <xdr:col>11</xdr:col>
          <xdr:colOff>254000</xdr:colOff>
          <xdr:row>70</xdr:row>
          <xdr:rowOff>50800</xdr:rowOff>
        </xdr:to>
        <xdr:sp macro="" textlink="">
          <xdr:nvSpPr>
            <xdr:cNvPr id="53256" name="Drop Down 8" hidden="1">
              <a:extLst>
                <a:ext uri="{63B3BB69-23CF-44E3-9099-C40C66FF867C}">
                  <a14:compatExt spid="_x0000_s53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74</xdr:row>
          <xdr:rowOff>12700</xdr:rowOff>
        </xdr:from>
        <xdr:to>
          <xdr:col>10</xdr:col>
          <xdr:colOff>215900</xdr:colOff>
          <xdr:row>75</xdr:row>
          <xdr:rowOff>50800</xdr:rowOff>
        </xdr:to>
        <xdr:sp macro="" textlink="">
          <xdr:nvSpPr>
            <xdr:cNvPr id="53257" name="Drop Down 9" hidden="1">
              <a:extLst>
                <a:ext uri="{63B3BB69-23CF-44E3-9099-C40C66FF867C}">
                  <a14:compatExt spid="_x0000_s53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79</xdr:row>
          <xdr:rowOff>12700</xdr:rowOff>
        </xdr:from>
        <xdr:to>
          <xdr:col>10</xdr:col>
          <xdr:colOff>190500</xdr:colOff>
          <xdr:row>80</xdr:row>
          <xdr:rowOff>63500</xdr:rowOff>
        </xdr:to>
        <xdr:sp macro="" textlink="">
          <xdr:nvSpPr>
            <xdr:cNvPr id="53258" name="Drop Down 10" hidden="1">
              <a:extLst>
                <a:ext uri="{63B3BB69-23CF-44E3-9099-C40C66FF867C}">
                  <a14:compatExt spid="_x0000_s53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11</xdr:row>
          <xdr:rowOff>25400</xdr:rowOff>
        </xdr:from>
        <xdr:to>
          <xdr:col>11</xdr:col>
          <xdr:colOff>927100</xdr:colOff>
          <xdr:row>15</xdr:row>
          <xdr:rowOff>50800</xdr:rowOff>
        </xdr:to>
        <xdr:sp macro="" textlink="">
          <xdr:nvSpPr>
            <xdr:cNvPr id="53259" name="Object 11" hidden="1">
              <a:extLst>
                <a:ext uri="{63B3BB69-23CF-44E3-9099-C40C66FF867C}">
                  <a14:compatExt spid="_x0000_s53259"/>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1" Type="http://schemas.openxmlformats.org/officeDocument/2006/relationships/ctrlProp" Target="../ctrlProps/ctrlProp114.xml"/><Relationship Id="rId12" Type="http://schemas.openxmlformats.org/officeDocument/2006/relationships/ctrlProp" Target="../ctrlProps/ctrlProp115.xml"/><Relationship Id="rId13" Type="http://schemas.openxmlformats.org/officeDocument/2006/relationships/ctrlProp" Target="../ctrlProps/ctrlProp116.xml"/><Relationship Id="rId1" Type="http://schemas.openxmlformats.org/officeDocument/2006/relationships/drawing" Target="../drawings/drawing9.xml"/><Relationship Id="rId2" Type="http://schemas.openxmlformats.org/officeDocument/2006/relationships/vmlDrawing" Target="../drawings/vmlDrawing9.vml"/><Relationship Id="rId3" Type="http://schemas.openxmlformats.org/officeDocument/2006/relationships/oleObject" Target="../embeddings/Microsoft_Word_97_-_2004_Document4.doc"/><Relationship Id="rId4" Type="http://schemas.openxmlformats.org/officeDocument/2006/relationships/image" Target="../media/image26.emf"/><Relationship Id="rId5" Type="http://schemas.openxmlformats.org/officeDocument/2006/relationships/ctrlProp" Target="../ctrlProps/ctrlProp108.xml"/><Relationship Id="rId6" Type="http://schemas.openxmlformats.org/officeDocument/2006/relationships/ctrlProp" Target="../ctrlProps/ctrlProp109.xml"/><Relationship Id="rId7" Type="http://schemas.openxmlformats.org/officeDocument/2006/relationships/ctrlProp" Target="../ctrlProps/ctrlProp110.xml"/><Relationship Id="rId8" Type="http://schemas.openxmlformats.org/officeDocument/2006/relationships/ctrlProp" Target="../ctrlProps/ctrlProp111.xml"/><Relationship Id="rId9" Type="http://schemas.openxmlformats.org/officeDocument/2006/relationships/ctrlProp" Target="../ctrlProps/ctrlProp112.xml"/><Relationship Id="rId10" Type="http://schemas.openxmlformats.org/officeDocument/2006/relationships/ctrlProp" Target="../ctrlProps/ctrlProp113.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117.xml"/><Relationship Id="rId4" Type="http://schemas.openxmlformats.org/officeDocument/2006/relationships/ctrlProp" Target="../ctrlProps/ctrlProp118.xml"/><Relationship Id="rId5" Type="http://schemas.openxmlformats.org/officeDocument/2006/relationships/ctrlProp" Target="../ctrlProps/ctrlProp119.xml"/><Relationship Id="rId6" Type="http://schemas.openxmlformats.org/officeDocument/2006/relationships/ctrlProp" Target="../ctrlProps/ctrlProp120.xml"/><Relationship Id="rId7" Type="http://schemas.openxmlformats.org/officeDocument/2006/relationships/ctrlProp" Target="../ctrlProps/ctrlProp121.xml"/><Relationship Id="rId8" Type="http://schemas.openxmlformats.org/officeDocument/2006/relationships/ctrlProp" Target="../ctrlProps/ctrlProp122.xml"/><Relationship Id="rId9" Type="http://schemas.openxmlformats.org/officeDocument/2006/relationships/ctrlProp" Target="../ctrlProps/ctrlProp123.xml"/><Relationship Id="rId10" Type="http://schemas.openxmlformats.org/officeDocument/2006/relationships/ctrlProp" Target="../ctrlProps/ctrlProp124.xml"/><Relationship Id="rId11" Type="http://schemas.openxmlformats.org/officeDocument/2006/relationships/ctrlProp" Target="../ctrlProps/ctrlProp125.xml"/><Relationship Id="rId1" Type="http://schemas.openxmlformats.org/officeDocument/2006/relationships/drawing" Target="../drawings/drawing10.xml"/><Relationship Id="rId2"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9" Type="http://schemas.openxmlformats.org/officeDocument/2006/relationships/ctrlProp" Target="../ctrlProps/ctrlProp130.xml"/><Relationship Id="rId20" Type="http://schemas.openxmlformats.org/officeDocument/2006/relationships/ctrlProp" Target="../ctrlProps/ctrlProp141.xml"/><Relationship Id="rId21" Type="http://schemas.openxmlformats.org/officeDocument/2006/relationships/ctrlProp" Target="../ctrlProps/ctrlProp142.xml"/><Relationship Id="rId22" Type="http://schemas.openxmlformats.org/officeDocument/2006/relationships/ctrlProp" Target="../ctrlProps/ctrlProp143.xml"/><Relationship Id="rId23" Type="http://schemas.openxmlformats.org/officeDocument/2006/relationships/ctrlProp" Target="../ctrlProps/ctrlProp144.xml"/><Relationship Id="rId24" Type="http://schemas.openxmlformats.org/officeDocument/2006/relationships/ctrlProp" Target="../ctrlProps/ctrlProp145.xml"/><Relationship Id="rId25" Type="http://schemas.openxmlformats.org/officeDocument/2006/relationships/ctrlProp" Target="../ctrlProps/ctrlProp146.xml"/><Relationship Id="rId26" Type="http://schemas.openxmlformats.org/officeDocument/2006/relationships/ctrlProp" Target="../ctrlProps/ctrlProp147.xml"/><Relationship Id="rId27" Type="http://schemas.openxmlformats.org/officeDocument/2006/relationships/ctrlProp" Target="../ctrlProps/ctrlProp148.xml"/><Relationship Id="rId28" Type="http://schemas.openxmlformats.org/officeDocument/2006/relationships/ctrlProp" Target="../ctrlProps/ctrlProp149.xml"/><Relationship Id="rId10" Type="http://schemas.openxmlformats.org/officeDocument/2006/relationships/ctrlProp" Target="../ctrlProps/ctrlProp131.xml"/><Relationship Id="rId11" Type="http://schemas.openxmlformats.org/officeDocument/2006/relationships/ctrlProp" Target="../ctrlProps/ctrlProp132.xml"/><Relationship Id="rId12" Type="http://schemas.openxmlformats.org/officeDocument/2006/relationships/ctrlProp" Target="../ctrlProps/ctrlProp133.xml"/><Relationship Id="rId13" Type="http://schemas.openxmlformats.org/officeDocument/2006/relationships/ctrlProp" Target="../ctrlProps/ctrlProp134.xml"/><Relationship Id="rId14" Type="http://schemas.openxmlformats.org/officeDocument/2006/relationships/ctrlProp" Target="../ctrlProps/ctrlProp135.xml"/><Relationship Id="rId15" Type="http://schemas.openxmlformats.org/officeDocument/2006/relationships/ctrlProp" Target="../ctrlProps/ctrlProp136.xml"/><Relationship Id="rId16" Type="http://schemas.openxmlformats.org/officeDocument/2006/relationships/ctrlProp" Target="../ctrlProps/ctrlProp137.xml"/><Relationship Id="rId17" Type="http://schemas.openxmlformats.org/officeDocument/2006/relationships/ctrlProp" Target="../ctrlProps/ctrlProp138.xml"/><Relationship Id="rId18" Type="http://schemas.openxmlformats.org/officeDocument/2006/relationships/ctrlProp" Target="../ctrlProps/ctrlProp139.xml"/><Relationship Id="rId19" Type="http://schemas.openxmlformats.org/officeDocument/2006/relationships/ctrlProp" Target="../ctrlProps/ctrlProp140.xml"/><Relationship Id="rId1" Type="http://schemas.openxmlformats.org/officeDocument/2006/relationships/drawing" Target="../drawings/drawing11.xml"/><Relationship Id="rId2" Type="http://schemas.openxmlformats.org/officeDocument/2006/relationships/vmlDrawing" Target="../drawings/vmlDrawing11.vml"/><Relationship Id="rId3" Type="http://schemas.openxmlformats.org/officeDocument/2006/relationships/oleObject" Target="../embeddings/Microsoft_Word_97_-_2004_Document5.doc"/><Relationship Id="rId4" Type="http://schemas.openxmlformats.org/officeDocument/2006/relationships/image" Target="../media/image27.emf"/><Relationship Id="rId5" Type="http://schemas.openxmlformats.org/officeDocument/2006/relationships/ctrlProp" Target="../ctrlProps/ctrlProp126.xml"/><Relationship Id="rId6" Type="http://schemas.openxmlformats.org/officeDocument/2006/relationships/ctrlProp" Target="../ctrlProps/ctrlProp127.xml"/><Relationship Id="rId7" Type="http://schemas.openxmlformats.org/officeDocument/2006/relationships/ctrlProp" Target="../ctrlProps/ctrlProp128.xml"/><Relationship Id="rId8" Type="http://schemas.openxmlformats.org/officeDocument/2006/relationships/ctrlProp" Target="../ctrlProps/ctrlProp129.xml"/></Relationships>
</file>

<file path=xl/worksheets/_rels/sheet15.xml.rels><?xml version="1.0" encoding="UTF-8" standalone="yes"?>
<Relationships xmlns="http://schemas.openxmlformats.org/package/2006/relationships"><Relationship Id="rId3" Type="http://schemas.openxmlformats.org/officeDocument/2006/relationships/ctrlProp" Target="../ctrlProps/ctrlProp150.xml"/><Relationship Id="rId4" Type="http://schemas.openxmlformats.org/officeDocument/2006/relationships/ctrlProp" Target="../ctrlProps/ctrlProp151.xml"/><Relationship Id="rId5" Type="http://schemas.openxmlformats.org/officeDocument/2006/relationships/ctrlProp" Target="../ctrlProps/ctrlProp152.xml"/><Relationship Id="rId6" Type="http://schemas.openxmlformats.org/officeDocument/2006/relationships/ctrlProp" Target="../ctrlProps/ctrlProp153.xml"/><Relationship Id="rId1" Type="http://schemas.openxmlformats.org/officeDocument/2006/relationships/drawing" Target="../drawings/drawing12.xml"/><Relationship Id="rId2"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3" Type="http://schemas.openxmlformats.org/officeDocument/2006/relationships/ctrlProp" Target="../ctrlProps/ctrlProp154.xml"/><Relationship Id="rId4" Type="http://schemas.openxmlformats.org/officeDocument/2006/relationships/ctrlProp" Target="../ctrlProps/ctrlProp155.xml"/><Relationship Id="rId5" Type="http://schemas.openxmlformats.org/officeDocument/2006/relationships/ctrlProp" Target="../ctrlProps/ctrlProp156.xml"/><Relationship Id="rId6" Type="http://schemas.openxmlformats.org/officeDocument/2006/relationships/ctrlProp" Target="../ctrlProps/ctrlProp157.xml"/><Relationship Id="rId7" Type="http://schemas.openxmlformats.org/officeDocument/2006/relationships/ctrlProp" Target="../ctrlProps/ctrlProp158.xml"/><Relationship Id="rId8" Type="http://schemas.openxmlformats.org/officeDocument/2006/relationships/ctrlProp" Target="../ctrlProps/ctrlProp159.xml"/><Relationship Id="rId9" Type="http://schemas.openxmlformats.org/officeDocument/2006/relationships/ctrlProp" Target="../ctrlProps/ctrlProp160.xml"/><Relationship Id="rId1" Type="http://schemas.openxmlformats.org/officeDocument/2006/relationships/drawing" Target="../drawings/drawing13.xml"/><Relationship Id="rId2" Type="http://schemas.openxmlformats.org/officeDocument/2006/relationships/vmlDrawing" Target="../drawings/vmlDrawing13.vml"/></Relationships>
</file>

<file path=xl/worksheets/_rels/sheet3.xml.rels><?xml version="1.0" encoding="UTF-8" standalone="yes"?>
<Relationships xmlns="http://schemas.openxmlformats.org/package/2006/relationships"><Relationship Id="rId9" Type="http://schemas.openxmlformats.org/officeDocument/2006/relationships/ctrlProp" Target="../ctrlProps/ctrlProp8.xml"/><Relationship Id="rId20" Type="http://schemas.openxmlformats.org/officeDocument/2006/relationships/ctrlProp" Target="../ctrlProps/ctrlProp19.xml"/><Relationship Id="rId21" Type="http://schemas.openxmlformats.org/officeDocument/2006/relationships/ctrlProp" Target="../ctrlProps/ctrlProp20.xml"/><Relationship Id="rId22" Type="http://schemas.openxmlformats.org/officeDocument/2006/relationships/ctrlProp" Target="../ctrlProps/ctrlProp21.xml"/><Relationship Id="rId23" Type="http://schemas.openxmlformats.org/officeDocument/2006/relationships/ctrlProp" Target="../ctrlProps/ctrlProp22.xml"/><Relationship Id="rId24" Type="http://schemas.openxmlformats.org/officeDocument/2006/relationships/ctrlProp" Target="../ctrlProps/ctrlProp23.xml"/><Relationship Id="rId25" Type="http://schemas.openxmlformats.org/officeDocument/2006/relationships/ctrlProp" Target="../ctrlProps/ctrlProp24.xml"/><Relationship Id="rId26" Type="http://schemas.openxmlformats.org/officeDocument/2006/relationships/comments" Target="../comments2.xml"/><Relationship Id="rId10" Type="http://schemas.openxmlformats.org/officeDocument/2006/relationships/ctrlProp" Target="../ctrlProps/ctrlProp9.xml"/><Relationship Id="rId11" Type="http://schemas.openxmlformats.org/officeDocument/2006/relationships/ctrlProp" Target="../ctrlProps/ctrlProp10.xml"/><Relationship Id="rId12" Type="http://schemas.openxmlformats.org/officeDocument/2006/relationships/ctrlProp" Target="../ctrlProps/ctrlProp11.xml"/><Relationship Id="rId13" Type="http://schemas.openxmlformats.org/officeDocument/2006/relationships/ctrlProp" Target="../ctrlProps/ctrlProp12.xml"/><Relationship Id="rId14" Type="http://schemas.openxmlformats.org/officeDocument/2006/relationships/ctrlProp" Target="../ctrlProps/ctrlProp13.xml"/><Relationship Id="rId15" Type="http://schemas.openxmlformats.org/officeDocument/2006/relationships/ctrlProp" Target="../ctrlProps/ctrlProp14.xml"/><Relationship Id="rId16" Type="http://schemas.openxmlformats.org/officeDocument/2006/relationships/ctrlProp" Target="../ctrlProps/ctrlProp15.xml"/><Relationship Id="rId17" Type="http://schemas.openxmlformats.org/officeDocument/2006/relationships/ctrlProp" Target="../ctrlProps/ctrlProp16.xml"/><Relationship Id="rId18" Type="http://schemas.openxmlformats.org/officeDocument/2006/relationships/ctrlProp" Target="../ctrlProps/ctrlProp17.xml"/><Relationship Id="rId19" Type="http://schemas.openxmlformats.org/officeDocument/2006/relationships/ctrlProp" Target="../ctrlProps/ctrlProp18.xml"/><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oleObject" Target="../embeddings/Microsoft_Word_97_-_2004_Document1.doc"/><Relationship Id="rId4" Type="http://schemas.openxmlformats.org/officeDocument/2006/relationships/image" Target="../media/image1.emf"/><Relationship Id="rId5" Type="http://schemas.openxmlformats.org/officeDocument/2006/relationships/ctrlProp" Target="../ctrlProps/ctrlProp4.xml"/><Relationship Id="rId6" Type="http://schemas.openxmlformats.org/officeDocument/2006/relationships/ctrlProp" Target="../ctrlProps/ctrlProp5.xml"/><Relationship Id="rId7" Type="http://schemas.openxmlformats.org/officeDocument/2006/relationships/ctrlProp" Target="../ctrlProps/ctrlProp6.xml"/><Relationship Id="rId8"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25.xml"/><Relationship Id="rId4" Type="http://schemas.openxmlformats.org/officeDocument/2006/relationships/ctrlProp" Target="../ctrlProps/ctrlProp26.xml"/><Relationship Id="rId5" Type="http://schemas.openxmlformats.org/officeDocument/2006/relationships/ctrlProp" Target="../ctrlProps/ctrlProp27.xml"/><Relationship Id="rId6" Type="http://schemas.openxmlformats.org/officeDocument/2006/relationships/ctrlProp" Target="../ctrlProps/ctrlProp28.xml"/><Relationship Id="rId7" Type="http://schemas.openxmlformats.org/officeDocument/2006/relationships/ctrlProp" Target="../ctrlProps/ctrlProp29.xml"/><Relationship Id="rId8" Type="http://schemas.openxmlformats.org/officeDocument/2006/relationships/ctrlProp" Target="../ctrlProps/ctrlProp30.xml"/><Relationship Id="rId9" Type="http://schemas.openxmlformats.org/officeDocument/2006/relationships/ctrlProp" Target="../ctrlProps/ctrlProp31.xml"/><Relationship Id="rId10" Type="http://schemas.openxmlformats.org/officeDocument/2006/relationships/ctrlProp" Target="../ctrlProps/ctrlProp32.xml"/><Relationship Id="rId11" Type="http://schemas.openxmlformats.org/officeDocument/2006/relationships/ctrlProp" Target="../ctrlProps/ctrlProp33.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9" Type="http://schemas.openxmlformats.org/officeDocument/2006/relationships/ctrlProp" Target="../ctrlProps/ctrlProp40.xml"/><Relationship Id="rId20" Type="http://schemas.openxmlformats.org/officeDocument/2006/relationships/ctrlProp" Target="../ctrlProps/ctrlProp51.xml"/><Relationship Id="rId21" Type="http://schemas.openxmlformats.org/officeDocument/2006/relationships/ctrlProp" Target="../ctrlProps/ctrlProp52.xml"/><Relationship Id="rId22" Type="http://schemas.openxmlformats.org/officeDocument/2006/relationships/ctrlProp" Target="../ctrlProps/ctrlProp53.xml"/><Relationship Id="rId23" Type="http://schemas.openxmlformats.org/officeDocument/2006/relationships/comments" Target="../comments3.xml"/><Relationship Id="rId10" Type="http://schemas.openxmlformats.org/officeDocument/2006/relationships/ctrlProp" Target="../ctrlProps/ctrlProp41.xml"/><Relationship Id="rId11" Type="http://schemas.openxmlformats.org/officeDocument/2006/relationships/ctrlProp" Target="../ctrlProps/ctrlProp42.xml"/><Relationship Id="rId12" Type="http://schemas.openxmlformats.org/officeDocument/2006/relationships/ctrlProp" Target="../ctrlProps/ctrlProp43.xml"/><Relationship Id="rId13" Type="http://schemas.openxmlformats.org/officeDocument/2006/relationships/ctrlProp" Target="../ctrlProps/ctrlProp44.xml"/><Relationship Id="rId14" Type="http://schemas.openxmlformats.org/officeDocument/2006/relationships/ctrlProp" Target="../ctrlProps/ctrlProp45.xml"/><Relationship Id="rId15" Type="http://schemas.openxmlformats.org/officeDocument/2006/relationships/ctrlProp" Target="../ctrlProps/ctrlProp46.xml"/><Relationship Id="rId16" Type="http://schemas.openxmlformats.org/officeDocument/2006/relationships/ctrlProp" Target="../ctrlProps/ctrlProp47.xml"/><Relationship Id="rId17" Type="http://schemas.openxmlformats.org/officeDocument/2006/relationships/ctrlProp" Target="../ctrlProps/ctrlProp48.xml"/><Relationship Id="rId18" Type="http://schemas.openxmlformats.org/officeDocument/2006/relationships/ctrlProp" Target="../ctrlProps/ctrlProp49.xml"/><Relationship Id="rId19" Type="http://schemas.openxmlformats.org/officeDocument/2006/relationships/ctrlProp" Target="../ctrlProps/ctrlProp50.xml"/><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trlProp" Target="../ctrlProps/ctrlProp34.xml"/><Relationship Id="rId4" Type="http://schemas.openxmlformats.org/officeDocument/2006/relationships/ctrlProp" Target="../ctrlProps/ctrlProp35.xml"/><Relationship Id="rId5" Type="http://schemas.openxmlformats.org/officeDocument/2006/relationships/ctrlProp" Target="../ctrlProps/ctrlProp36.xml"/><Relationship Id="rId6" Type="http://schemas.openxmlformats.org/officeDocument/2006/relationships/ctrlProp" Target="../ctrlProps/ctrlProp37.xml"/><Relationship Id="rId7" Type="http://schemas.openxmlformats.org/officeDocument/2006/relationships/ctrlProp" Target="../ctrlProps/ctrlProp38.xml"/><Relationship Id="rId8"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9" Type="http://schemas.openxmlformats.org/officeDocument/2006/relationships/ctrlProp" Target="../ctrlProps/ctrlProp60.xml"/><Relationship Id="rId20" Type="http://schemas.openxmlformats.org/officeDocument/2006/relationships/ctrlProp" Target="../ctrlProps/ctrlProp71.xml"/><Relationship Id="rId21" Type="http://schemas.openxmlformats.org/officeDocument/2006/relationships/ctrlProp" Target="../ctrlProps/ctrlProp72.xml"/><Relationship Id="rId22" Type="http://schemas.openxmlformats.org/officeDocument/2006/relationships/ctrlProp" Target="../ctrlProps/ctrlProp73.xml"/><Relationship Id="rId10" Type="http://schemas.openxmlformats.org/officeDocument/2006/relationships/ctrlProp" Target="../ctrlProps/ctrlProp61.xml"/><Relationship Id="rId11" Type="http://schemas.openxmlformats.org/officeDocument/2006/relationships/ctrlProp" Target="../ctrlProps/ctrlProp62.xml"/><Relationship Id="rId12" Type="http://schemas.openxmlformats.org/officeDocument/2006/relationships/ctrlProp" Target="../ctrlProps/ctrlProp63.xml"/><Relationship Id="rId13" Type="http://schemas.openxmlformats.org/officeDocument/2006/relationships/ctrlProp" Target="../ctrlProps/ctrlProp64.xml"/><Relationship Id="rId14" Type="http://schemas.openxmlformats.org/officeDocument/2006/relationships/ctrlProp" Target="../ctrlProps/ctrlProp65.xml"/><Relationship Id="rId15" Type="http://schemas.openxmlformats.org/officeDocument/2006/relationships/ctrlProp" Target="../ctrlProps/ctrlProp66.xml"/><Relationship Id="rId16" Type="http://schemas.openxmlformats.org/officeDocument/2006/relationships/ctrlProp" Target="../ctrlProps/ctrlProp67.xml"/><Relationship Id="rId17" Type="http://schemas.openxmlformats.org/officeDocument/2006/relationships/ctrlProp" Target="../ctrlProps/ctrlProp68.xml"/><Relationship Id="rId18" Type="http://schemas.openxmlformats.org/officeDocument/2006/relationships/ctrlProp" Target="../ctrlProps/ctrlProp69.xml"/><Relationship Id="rId19" Type="http://schemas.openxmlformats.org/officeDocument/2006/relationships/ctrlProp" Target="../ctrlProps/ctrlProp70.xml"/><Relationship Id="rId1" Type="http://schemas.openxmlformats.org/officeDocument/2006/relationships/drawing" Target="../drawings/drawing5.xml"/><Relationship Id="rId2" Type="http://schemas.openxmlformats.org/officeDocument/2006/relationships/vmlDrawing" Target="../drawings/vmlDrawing5.vml"/><Relationship Id="rId3" Type="http://schemas.openxmlformats.org/officeDocument/2006/relationships/ctrlProp" Target="../ctrlProps/ctrlProp54.xml"/><Relationship Id="rId4" Type="http://schemas.openxmlformats.org/officeDocument/2006/relationships/ctrlProp" Target="../ctrlProps/ctrlProp55.xml"/><Relationship Id="rId5" Type="http://schemas.openxmlformats.org/officeDocument/2006/relationships/ctrlProp" Target="../ctrlProps/ctrlProp56.xml"/><Relationship Id="rId6" Type="http://schemas.openxmlformats.org/officeDocument/2006/relationships/ctrlProp" Target="../ctrlProps/ctrlProp57.xml"/><Relationship Id="rId7" Type="http://schemas.openxmlformats.org/officeDocument/2006/relationships/ctrlProp" Target="../ctrlProps/ctrlProp58.xml"/><Relationship Id="rId8" Type="http://schemas.openxmlformats.org/officeDocument/2006/relationships/ctrlProp" Target="../ctrlProps/ctrlProp59.xml"/></Relationships>
</file>

<file path=xl/worksheets/_rels/sheet7.xml.rels><?xml version="1.0" encoding="UTF-8" standalone="yes"?>
<Relationships xmlns="http://schemas.openxmlformats.org/package/2006/relationships"><Relationship Id="rId9" Type="http://schemas.openxmlformats.org/officeDocument/2006/relationships/ctrlProp" Target="../ctrlProps/ctrlProp78.xml"/><Relationship Id="rId20" Type="http://schemas.openxmlformats.org/officeDocument/2006/relationships/ctrlProp" Target="../ctrlProps/ctrlProp89.xml"/><Relationship Id="rId21" Type="http://schemas.openxmlformats.org/officeDocument/2006/relationships/ctrlProp" Target="../ctrlProps/ctrlProp90.xml"/><Relationship Id="rId22" Type="http://schemas.openxmlformats.org/officeDocument/2006/relationships/ctrlProp" Target="../ctrlProps/ctrlProp91.xml"/><Relationship Id="rId23" Type="http://schemas.openxmlformats.org/officeDocument/2006/relationships/ctrlProp" Target="../ctrlProps/ctrlProp92.xml"/><Relationship Id="rId24" Type="http://schemas.openxmlformats.org/officeDocument/2006/relationships/ctrlProp" Target="../ctrlProps/ctrlProp93.xml"/><Relationship Id="rId10" Type="http://schemas.openxmlformats.org/officeDocument/2006/relationships/ctrlProp" Target="../ctrlProps/ctrlProp79.xml"/><Relationship Id="rId11" Type="http://schemas.openxmlformats.org/officeDocument/2006/relationships/ctrlProp" Target="../ctrlProps/ctrlProp80.xml"/><Relationship Id="rId12" Type="http://schemas.openxmlformats.org/officeDocument/2006/relationships/ctrlProp" Target="../ctrlProps/ctrlProp81.xml"/><Relationship Id="rId13" Type="http://schemas.openxmlformats.org/officeDocument/2006/relationships/ctrlProp" Target="../ctrlProps/ctrlProp82.xml"/><Relationship Id="rId14" Type="http://schemas.openxmlformats.org/officeDocument/2006/relationships/ctrlProp" Target="../ctrlProps/ctrlProp83.xml"/><Relationship Id="rId15" Type="http://schemas.openxmlformats.org/officeDocument/2006/relationships/ctrlProp" Target="../ctrlProps/ctrlProp84.xml"/><Relationship Id="rId16" Type="http://schemas.openxmlformats.org/officeDocument/2006/relationships/ctrlProp" Target="../ctrlProps/ctrlProp85.xml"/><Relationship Id="rId17" Type="http://schemas.openxmlformats.org/officeDocument/2006/relationships/ctrlProp" Target="../ctrlProps/ctrlProp86.xml"/><Relationship Id="rId18" Type="http://schemas.openxmlformats.org/officeDocument/2006/relationships/ctrlProp" Target="../ctrlProps/ctrlProp87.xml"/><Relationship Id="rId19" Type="http://schemas.openxmlformats.org/officeDocument/2006/relationships/ctrlProp" Target="../ctrlProps/ctrlProp88.xml"/><Relationship Id="rId1" Type="http://schemas.openxmlformats.org/officeDocument/2006/relationships/drawing" Target="../drawings/drawing6.xml"/><Relationship Id="rId2" Type="http://schemas.openxmlformats.org/officeDocument/2006/relationships/vmlDrawing" Target="../drawings/vmlDrawing6.vml"/><Relationship Id="rId3" Type="http://schemas.openxmlformats.org/officeDocument/2006/relationships/oleObject" Target="../embeddings/Microsoft_Word_97_-_2004_Document2.doc"/><Relationship Id="rId4" Type="http://schemas.openxmlformats.org/officeDocument/2006/relationships/image" Target="../media/image1.emf"/><Relationship Id="rId5" Type="http://schemas.openxmlformats.org/officeDocument/2006/relationships/ctrlProp" Target="../ctrlProps/ctrlProp74.xml"/><Relationship Id="rId6" Type="http://schemas.openxmlformats.org/officeDocument/2006/relationships/ctrlProp" Target="../ctrlProps/ctrlProp75.xml"/><Relationship Id="rId7" Type="http://schemas.openxmlformats.org/officeDocument/2006/relationships/ctrlProp" Target="../ctrlProps/ctrlProp76.xml"/><Relationship Id="rId8" Type="http://schemas.openxmlformats.org/officeDocument/2006/relationships/ctrlProp" Target="../ctrlProps/ctrlProp77.xml"/></Relationships>
</file>

<file path=xl/worksheets/_rels/sheet8.xml.rels><?xml version="1.0" encoding="UTF-8" standalone="yes"?>
<Relationships xmlns="http://schemas.openxmlformats.org/package/2006/relationships"><Relationship Id="rId11" Type="http://schemas.openxmlformats.org/officeDocument/2006/relationships/ctrlProp" Target="../ctrlProps/ctrlProp100.xml"/><Relationship Id="rId12" Type="http://schemas.openxmlformats.org/officeDocument/2006/relationships/comments" Target="../comments4.xml"/><Relationship Id="rId1" Type="http://schemas.openxmlformats.org/officeDocument/2006/relationships/drawing" Target="../drawings/drawing7.xml"/><Relationship Id="rId2" Type="http://schemas.openxmlformats.org/officeDocument/2006/relationships/vmlDrawing" Target="../drawings/vmlDrawing7.vml"/><Relationship Id="rId3" Type="http://schemas.openxmlformats.org/officeDocument/2006/relationships/oleObject" Target="../embeddings/Microsoft_Word_97_-_2004_Document3.doc"/><Relationship Id="rId4" Type="http://schemas.openxmlformats.org/officeDocument/2006/relationships/image" Target="../media/image15.emf"/><Relationship Id="rId5" Type="http://schemas.openxmlformats.org/officeDocument/2006/relationships/ctrlProp" Target="../ctrlProps/ctrlProp94.xml"/><Relationship Id="rId6" Type="http://schemas.openxmlformats.org/officeDocument/2006/relationships/ctrlProp" Target="../ctrlProps/ctrlProp95.xml"/><Relationship Id="rId7" Type="http://schemas.openxmlformats.org/officeDocument/2006/relationships/ctrlProp" Target="../ctrlProps/ctrlProp96.xml"/><Relationship Id="rId8" Type="http://schemas.openxmlformats.org/officeDocument/2006/relationships/ctrlProp" Target="../ctrlProps/ctrlProp97.xml"/><Relationship Id="rId9" Type="http://schemas.openxmlformats.org/officeDocument/2006/relationships/ctrlProp" Target="../ctrlProps/ctrlProp98.xml"/><Relationship Id="rId10" Type="http://schemas.openxmlformats.org/officeDocument/2006/relationships/ctrlProp" Target="../ctrlProps/ctrlProp99.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101.xml"/><Relationship Id="rId4" Type="http://schemas.openxmlformats.org/officeDocument/2006/relationships/ctrlProp" Target="../ctrlProps/ctrlProp102.xml"/><Relationship Id="rId5" Type="http://schemas.openxmlformats.org/officeDocument/2006/relationships/ctrlProp" Target="../ctrlProps/ctrlProp103.xml"/><Relationship Id="rId6" Type="http://schemas.openxmlformats.org/officeDocument/2006/relationships/ctrlProp" Target="../ctrlProps/ctrlProp104.xml"/><Relationship Id="rId7" Type="http://schemas.openxmlformats.org/officeDocument/2006/relationships/ctrlProp" Target="../ctrlProps/ctrlProp105.xml"/><Relationship Id="rId8" Type="http://schemas.openxmlformats.org/officeDocument/2006/relationships/ctrlProp" Target="../ctrlProps/ctrlProp106.xml"/><Relationship Id="rId9" Type="http://schemas.openxmlformats.org/officeDocument/2006/relationships/ctrlProp" Target="../ctrlProps/ctrlProp107.xml"/><Relationship Id="rId1" Type="http://schemas.openxmlformats.org/officeDocument/2006/relationships/drawing" Target="../drawings/drawing8.xml"/><Relationship Id="rId2"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27"/>
  </sheetPr>
  <dimension ref="A1:S116"/>
  <sheetViews>
    <sheetView tabSelected="1" workbookViewId="0">
      <selection activeCell="J7" sqref="J7"/>
    </sheetView>
  </sheetViews>
  <sheetFormatPr baseColWidth="10" defaultColWidth="8.83203125" defaultRowHeight="12" x14ac:dyDescent="0"/>
  <cols>
    <col min="1" max="1" width="8.83203125" style="33"/>
    <col min="2" max="2" width="10.5" style="11" customWidth="1"/>
    <col min="3" max="3" width="9.1640625" style="11" customWidth="1"/>
    <col min="4" max="4" width="8.83203125" style="11"/>
    <col min="5" max="5" width="10.5" style="11" customWidth="1"/>
    <col min="6" max="6" width="8.83203125" style="11"/>
    <col min="7" max="18" width="8.83203125" style="33"/>
  </cols>
  <sheetData>
    <row r="1" spans="1:19" ht="12.75" customHeight="1">
      <c r="A1" s="105"/>
      <c r="B1" s="106"/>
      <c r="C1" s="106"/>
      <c r="D1" s="106"/>
      <c r="E1" s="106"/>
      <c r="F1" s="106"/>
      <c r="G1" s="106"/>
      <c r="H1" s="106"/>
      <c r="I1" s="105"/>
      <c r="J1" s="32"/>
      <c r="K1" s="32"/>
      <c r="L1" s="32"/>
      <c r="M1" s="32"/>
      <c r="N1" s="32"/>
      <c r="O1" s="32"/>
      <c r="P1" s="32"/>
    </row>
    <row r="2" spans="1:19" ht="13" thickBot="1">
      <c r="A2" s="105"/>
      <c r="B2" s="106"/>
      <c r="C2" s="106"/>
      <c r="D2" s="106"/>
      <c r="E2" s="106"/>
      <c r="F2" s="106"/>
      <c r="G2" s="106"/>
      <c r="H2" s="106"/>
      <c r="I2" s="105"/>
      <c r="J2" s="32"/>
      <c r="K2" s="32"/>
      <c r="L2" s="32"/>
      <c r="M2" s="32"/>
      <c r="N2" s="32"/>
      <c r="O2" s="32"/>
      <c r="P2" s="32"/>
    </row>
    <row r="3" spans="1:19" ht="13" thickTop="1">
      <c r="A3" s="189" t="s">
        <v>287</v>
      </c>
      <c r="B3" s="190"/>
      <c r="C3" s="190"/>
      <c r="D3" s="106"/>
      <c r="E3" s="182" t="s">
        <v>272</v>
      </c>
      <c r="F3" s="183"/>
      <c r="G3" s="183"/>
      <c r="H3" s="183"/>
      <c r="I3" s="183"/>
      <c r="J3" s="183"/>
      <c r="K3" s="184"/>
      <c r="L3" s="32"/>
      <c r="M3" s="32"/>
      <c r="N3" s="32"/>
      <c r="O3" s="32"/>
      <c r="P3" s="32"/>
    </row>
    <row r="4" spans="1:19" ht="12.75" customHeight="1">
      <c r="A4" s="190"/>
      <c r="B4" s="190"/>
      <c r="C4" s="190"/>
      <c r="D4" s="106"/>
      <c r="E4" s="185"/>
      <c r="F4" s="186"/>
      <c r="G4" s="186"/>
      <c r="H4" s="186"/>
      <c r="I4" s="186"/>
      <c r="J4" s="186"/>
      <c r="K4" s="187"/>
      <c r="L4" s="32"/>
      <c r="M4" s="32"/>
      <c r="N4" s="32"/>
      <c r="O4" s="32"/>
      <c r="P4" s="32"/>
    </row>
    <row r="5" spans="1:19" ht="12.75" customHeight="1">
      <c r="A5" s="190"/>
      <c r="B5" s="190"/>
      <c r="C5" s="190"/>
      <c r="D5" s="106"/>
      <c r="E5" s="145"/>
      <c r="F5" s="146"/>
      <c r="G5" s="146"/>
      <c r="H5" s="146"/>
      <c r="I5" s="146"/>
      <c r="J5" s="147"/>
      <c r="K5" s="148"/>
      <c r="L5" s="32"/>
      <c r="M5" s="32"/>
      <c r="N5" s="32"/>
      <c r="O5" s="32"/>
      <c r="P5" s="32"/>
    </row>
    <row r="6" spans="1:19" ht="13">
      <c r="A6" s="190"/>
      <c r="B6" s="190"/>
      <c r="C6" s="190"/>
      <c r="D6" s="106"/>
      <c r="E6" s="149"/>
      <c r="F6" s="150"/>
      <c r="G6" s="150"/>
      <c r="H6" s="150" t="s">
        <v>261</v>
      </c>
      <c r="I6" s="150"/>
      <c r="J6" s="150"/>
      <c r="K6" s="151"/>
      <c r="L6" s="32"/>
      <c r="M6" s="32"/>
      <c r="N6" s="32"/>
      <c r="O6" s="32"/>
      <c r="P6" s="32"/>
    </row>
    <row r="7" spans="1:19" ht="13">
      <c r="A7" s="190"/>
      <c r="B7" s="190"/>
      <c r="C7" s="190"/>
      <c r="D7" s="106"/>
      <c r="E7" s="152" t="s">
        <v>0</v>
      </c>
      <c r="F7" s="162"/>
      <c r="G7" s="153" t="s">
        <v>1</v>
      </c>
      <c r="H7" s="162"/>
      <c r="I7" s="153" t="s">
        <v>271</v>
      </c>
      <c r="J7" s="162"/>
      <c r="K7" s="148"/>
      <c r="L7" s="32"/>
      <c r="M7" s="32"/>
      <c r="N7" s="32"/>
      <c r="O7" s="32"/>
      <c r="P7" s="32"/>
    </row>
    <row r="8" spans="1:19" ht="13">
      <c r="A8" s="190"/>
      <c r="B8" s="190"/>
      <c r="C8" s="190"/>
      <c r="D8" s="106"/>
      <c r="E8" s="152"/>
      <c r="F8" s="146"/>
      <c r="G8" s="146"/>
      <c r="H8" s="146"/>
      <c r="I8" s="146"/>
      <c r="J8" s="147"/>
      <c r="K8" s="148"/>
      <c r="L8" s="32"/>
      <c r="M8" s="32"/>
      <c r="N8" s="32"/>
      <c r="O8" s="32"/>
      <c r="P8" s="32"/>
    </row>
    <row r="9" spans="1:19" ht="13">
      <c r="A9" s="190"/>
      <c r="B9" s="190"/>
      <c r="C9" s="190"/>
      <c r="D9" s="106"/>
      <c r="E9" s="152"/>
      <c r="F9" s="146"/>
      <c r="G9" s="146"/>
      <c r="H9" s="146"/>
      <c r="I9" s="146"/>
      <c r="J9" s="147"/>
      <c r="K9" s="148"/>
      <c r="L9" s="32"/>
      <c r="M9" s="32"/>
      <c r="N9" s="32"/>
      <c r="O9" s="32"/>
      <c r="P9" s="32"/>
    </row>
    <row r="10" spans="1:19" ht="13">
      <c r="A10" s="190"/>
      <c r="B10" s="190"/>
      <c r="C10" s="190"/>
      <c r="D10" s="106"/>
      <c r="E10" s="145"/>
      <c r="F10" s="146" t="s">
        <v>273</v>
      </c>
      <c r="G10" s="146"/>
      <c r="H10" s="146"/>
      <c r="I10" s="146"/>
      <c r="J10" s="147"/>
      <c r="K10" s="148"/>
      <c r="L10" s="32"/>
      <c r="M10" s="32"/>
      <c r="N10" s="32"/>
      <c r="O10" s="32"/>
      <c r="P10" s="32"/>
    </row>
    <row r="11" spans="1:19" ht="13">
      <c r="A11" s="190"/>
      <c r="B11" s="190"/>
      <c r="C11" s="190"/>
      <c r="D11" s="106"/>
      <c r="E11" s="145"/>
      <c r="F11" s="146"/>
      <c r="G11" s="146"/>
      <c r="H11" s="146"/>
      <c r="I11" s="146"/>
      <c r="J11" s="147"/>
      <c r="K11" s="148"/>
      <c r="L11" s="32"/>
      <c r="M11" s="32"/>
      <c r="N11" s="32"/>
      <c r="O11" s="32"/>
      <c r="P11" s="32"/>
      <c r="Q11" s="32"/>
      <c r="S11" s="33"/>
    </row>
    <row r="12" spans="1:19" ht="16">
      <c r="A12" s="190"/>
      <c r="B12" s="190"/>
      <c r="C12" s="190"/>
      <c r="D12" s="106"/>
      <c r="E12" s="149"/>
      <c r="F12" s="181"/>
      <c r="G12" s="150"/>
      <c r="H12" s="150" t="s">
        <v>262</v>
      </c>
      <c r="I12" s="150"/>
      <c r="J12" s="150"/>
      <c r="K12" s="151"/>
      <c r="L12" s="104"/>
      <c r="M12" s="104"/>
      <c r="N12" s="104"/>
      <c r="O12" s="32"/>
      <c r="P12" s="32"/>
      <c r="Q12" s="32"/>
      <c r="S12" s="33"/>
    </row>
    <row r="13" spans="1:19" ht="13">
      <c r="A13" s="190"/>
      <c r="B13" s="190"/>
      <c r="C13" s="190"/>
      <c r="D13" s="106"/>
      <c r="E13" s="154"/>
      <c r="F13" s="155" t="s">
        <v>2</v>
      </c>
      <c r="G13" s="147"/>
      <c r="H13" s="146" t="s">
        <v>3</v>
      </c>
      <c r="I13" s="150"/>
      <c r="J13" s="146" t="s">
        <v>4</v>
      </c>
      <c r="K13" s="148"/>
      <c r="L13" s="32"/>
      <c r="M13" s="32"/>
      <c r="N13" s="32"/>
      <c r="O13" s="32"/>
      <c r="P13" s="32"/>
    </row>
    <row r="14" spans="1:19" ht="13">
      <c r="A14" s="190"/>
      <c r="B14" s="190"/>
      <c r="C14" s="190"/>
      <c r="D14" s="106"/>
      <c r="E14" s="154"/>
      <c r="F14" s="146"/>
      <c r="G14" s="146"/>
      <c r="H14" s="146"/>
      <c r="I14" s="146"/>
      <c r="J14" s="146"/>
      <c r="K14" s="148"/>
      <c r="L14" s="32"/>
      <c r="M14" s="32"/>
      <c r="N14" s="32"/>
      <c r="O14" s="32"/>
      <c r="P14" s="32"/>
    </row>
    <row r="15" spans="1:19" ht="13">
      <c r="A15" s="190"/>
      <c r="B15" s="190"/>
      <c r="C15" s="190"/>
      <c r="D15" s="105"/>
      <c r="E15" s="156"/>
      <c r="F15" s="157"/>
      <c r="G15" s="157"/>
      <c r="H15" s="157"/>
      <c r="I15" s="157"/>
      <c r="J15" s="147"/>
      <c r="K15" s="148"/>
      <c r="L15" s="32"/>
      <c r="M15" s="32"/>
      <c r="N15" s="32"/>
      <c r="O15" s="32"/>
      <c r="P15" s="32"/>
    </row>
    <row r="16" spans="1:19" ht="14" thickBot="1">
      <c r="A16" s="190"/>
      <c r="B16" s="190"/>
      <c r="C16" s="190"/>
      <c r="D16" s="32"/>
      <c r="E16" s="158"/>
      <c r="F16" s="159"/>
      <c r="G16" s="159"/>
      <c r="H16" s="159"/>
      <c r="I16" s="159"/>
      <c r="J16" s="160"/>
      <c r="K16" s="161"/>
      <c r="L16" s="32"/>
      <c r="M16" s="32"/>
      <c r="N16" s="32"/>
      <c r="O16" s="32"/>
      <c r="P16" s="32"/>
    </row>
    <row r="17" spans="1:16" ht="13" thickTop="1">
      <c r="A17" s="190"/>
      <c r="B17" s="190"/>
      <c r="C17" s="190"/>
      <c r="D17" s="32"/>
      <c r="E17" s="32"/>
      <c r="F17" s="32"/>
      <c r="G17" s="32"/>
      <c r="H17" s="32"/>
      <c r="I17" s="32"/>
      <c r="J17" s="32"/>
      <c r="K17" s="32"/>
      <c r="L17" s="32"/>
      <c r="M17" s="32"/>
      <c r="N17" s="32"/>
      <c r="O17" s="32"/>
      <c r="P17" s="32"/>
    </row>
    <row r="18" spans="1:16">
      <c r="A18" s="32"/>
      <c r="B18" s="32"/>
      <c r="C18" s="32"/>
      <c r="D18" s="32"/>
      <c r="E18" s="32"/>
      <c r="F18" s="32"/>
      <c r="G18" s="32"/>
      <c r="H18" s="32"/>
      <c r="I18" s="32"/>
      <c r="J18" s="32"/>
      <c r="K18" s="32"/>
      <c r="L18" s="32"/>
      <c r="M18" s="32"/>
      <c r="N18" s="32"/>
      <c r="O18" s="32"/>
      <c r="P18" s="32"/>
    </row>
    <row r="19" spans="1:16">
      <c r="A19" s="32"/>
      <c r="B19" s="32"/>
      <c r="C19" s="32"/>
      <c r="D19" s="32"/>
      <c r="E19" s="32"/>
      <c r="F19" s="32"/>
      <c r="G19" s="32"/>
      <c r="H19" s="32"/>
      <c r="I19" s="32"/>
      <c r="J19" s="32"/>
      <c r="K19" s="32"/>
      <c r="L19" s="32"/>
      <c r="M19" s="32"/>
      <c r="N19" s="32"/>
      <c r="O19" s="32"/>
      <c r="P19" s="32"/>
    </row>
    <row r="20" spans="1:16">
      <c r="A20" s="32"/>
      <c r="B20" s="32"/>
      <c r="C20" s="32"/>
      <c r="D20" s="32"/>
      <c r="E20" s="32"/>
      <c r="F20" s="32"/>
      <c r="G20" s="32"/>
      <c r="H20" s="32"/>
      <c r="I20" s="32"/>
      <c r="J20" s="32"/>
      <c r="K20" s="32"/>
      <c r="L20" s="32"/>
      <c r="M20" s="32"/>
      <c r="N20" s="32"/>
      <c r="O20" s="32"/>
      <c r="P20" s="32"/>
    </row>
    <row r="21" spans="1:16" ht="6.75" customHeight="1">
      <c r="A21" s="32"/>
      <c r="B21" s="32"/>
      <c r="C21" s="32"/>
      <c r="D21" s="32"/>
      <c r="E21" s="32"/>
      <c r="F21" s="32"/>
      <c r="G21" s="32"/>
      <c r="H21" s="32"/>
      <c r="I21" s="32"/>
      <c r="J21" s="32"/>
      <c r="K21" s="32"/>
      <c r="L21" s="32"/>
      <c r="M21" s="32"/>
      <c r="N21" s="32"/>
      <c r="O21" s="32"/>
      <c r="P21" s="32"/>
    </row>
    <row r="22" spans="1:16" ht="18">
      <c r="A22" s="32"/>
      <c r="B22" s="32"/>
      <c r="C22" s="32"/>
      <c r="D22" s="188">
        <f>IF(AND(ID!C29&gt;0,ID!D29&gt;0,ID!E29&gt;0,ID!G6&gt;1,ID!H6&gt;1,ID!I6&gt;1),"Thanks for logging in.  Proceed to next sheet.",0)</f>
        <v>0</v>
      </c>
      <c r="E22" s="188"/>
      <c r="F22" s="188"/>
      <c r="G22" s="188"/>
      <c r="H22" s="188"/>
      <c r="I22" s="188"/>
      <c r="J22" s="188"/>
      <c r="K22" s="188"/>
      <c r="L22" s="188"/>
      <c r="M22" s="32"/>
      <c r="N22" s="32"/>
      <c r="O22" s="32"/>
      <c r="P22" s="32"/>
    </row>
    <row r="23" spans="1:16">
      <c r="A23" s="32"/>
      <c r="B23" s="32"/>
      <c r="C23" s="32"/>
      <c r="D23" s="32"/>
      <c r="E23" s="32"/>
      <c r="F23" s="32"/>
      <c r="G23" s="32"/>
      <c r="H23" s="32"/>
      <c r="I23" s="32"/>
      <c r="J23" s="32"/>
      <c r="K23" s="32"/>
      <c r="L23" s="32"/>
      <c r="M23" s="32"/>
      <c r="N23" s="32"/>
      <c r="O23" s="32"/>
      <c r="P23" s="32"/>
    </row>
    <row r="24" spans="1:16">
      <c r="A24" s="32"/>
      <c r="B24" s="32"/>
      <c r="C24" s="32"/>
      <c r="D24" s="32"/>
      <c r="E24" s="32"/>
      <c r="F24" s="32"/>
      <c r="G24" s="32"/>
      <c r="H24" s="32"/>
      <c r="I24" s="32"/>
      <c r="J24" s="32"/>
      <c r="K24" s="32"/>
      <c r="L24" s="32"/>
      <c r="M24" s="32"/>
      <c r="N24" s="32"/>
      <c r="O24" s="32"/>
      <c r="P24" s="32"/>
    </row>
    <row r="25" spans="1:16">
      <c r="A25" s="32"/>
      <c r="B25" s="32"/>
      <c r="C25" s="32"/>
      <c r="D25" s="32"/>
      <c r="E25" s="32"/>
      <c r="F25" s="32"/>
      <c r="G25" s="32"/>
      <c r="H25" s="32"/>
      <c r="I25" s="32"/>
      <c r="J25" s="32"/>
      <c r="K25" s="32"/>
      <c r="L25" s="32"/>
      <c r="M25" s="32"/>
      <c r="N25" s="32"/>
      <c r="O25" s="32"/>
      <c r="P25" s="32"/>
    </row>
    <row r="26" spans="1:16">
      <c r="A26" s="32"/>
      <c r="B26" s="32"/>
      <c r="C26" s="32"/>
      <c r="D26" s="32"/>
      <c r="E26" s="32"/>
      <c r="F26" s="32"/>
      <c r="G26" s="32"/>
      <c r="H26" s="32"/>
      <c r="I26" s="32"/>
      <c r="J26" s="32"/>
      <c r="K26" s="32"/>
      <c r="L26" s="32"/>
      <c r="M26" s="32"/>
      <c r="N26" s="32"/>
      <c r="O26" s="32"/>
      <c r="P26" s="32"/>
    </row>
    <row r="27" spans="1:16">
      <c r="A27" s="32"/>
      <c r="B27" s="32"/>
      <c r="C27" s="32"/>
      <c r="D27" s="32"/>
      <c r="E27" s="32"/>
      <c r="F27" s="32"/>
      <c r="G27" s="32"/>
      <c r="H27" s="32"/>
      <c r="I27" s="32"/>
      <c r="J27" s="32"/>
      <c r="K27" s="32"/>
      <c r="L27" s="32"/>
      <c r="M27" s="32"/>
      <c r="N27" s="32"/>
      <c r="O27" s="32"/>
      <c r="P27" s="32"/>
    </row>
    <row r="28" spans="1:16">
      <c r="A28" s="32"/>
      <c r="B28" s="32"/>
      <c r="C28" s="32"/>
      <c r="D28" s="32"/>
      <c r="E28" s="32"/>
      <c r="F28" s="32"/>
      <c r="G28" s="32"/>
      <c r="H28" s="32"/>
      <c r="I28" s="32"/>
      <c r="J28" s="32"/>
      <c r="K28" s="32"/>
      <c r="L28" s="32"/>
      <c r="M28" s="32"/>
      <c r="N28" s="32"/>
      <c r="O28" s="32"/>
      <c r="P28" s="32"/>
    </row>
    <row r="29" spans="1:16">
      <c r="A29" s="32"/>
      <c r="B29" s="32"/>
      <c r="C29" s="32"/>
      <c r="D29" s="32"/>
      <c r="E29" s="32"/>
      <c r="F29" s="32"/>
      <c r="G29" s="32"/>
      <c r="H29" s="32"/>
      <c r="I29" s="32"/>
      <c r="J29" s="32"/>
      <c r="K29" s="32"/>
      <c r="L29" s="32"/>
      <c r="M29" s="32"/>
      <c r="N29" s="32"/>
      <c r="O29" s="32"/>
      <c r="P29" s="32"/>
    </row>
    <row r="30" spans="1:16">
      <c r="A30" s="32"/>
      <c r="B30" s="32"/>
      <c r="C30" s="32"/>
      <c r="D30" s="32"/>
      <c r="E30" s="32"/>
      <c r="F30" s="32"/>
      <c r="G30" s="32"/>
      <c r="H30" s="32"/>
      <c r="I30" s="32"/>
      <c r="J30" s="32"/>
      <c r="K30" s="32"/>
      <c r="L30" s="32"/>
      <c r="M30" s="32"/>
      <c r="N30" s="32"/>
      <c r="O30" s="32"/>
      <c r="P30" s="32"/>
    </row>
    <row r="31" spans="1:16">
      <c r="A31" s="32"/>
      <c r="B31" s="32"/>
      <c r="C31" s="32"/>
      <c r="D31" s="32"/>
      <c r="E31" s="32"/>
      <c r="F31" s="32"/>
      <c r="G31" s="32"/>
      <c r="H31" s="32"/>
      <c r="I31" s="32"/>
      <c r="J31" s="32"/>
      <c r="K31" s="32"/>
      <c r="L31" s="32"/>
      <c r="M31" s="32"/>
      <c r="N31" s="32"/>
      <c r="O31" s="32"/>
      <c r="P31" s="32"/>
    </row>
    <row r="32" spans="1:16">
      <c r="A32" s="32"/>
      <c r="B32" s="32"/>
      <c r="C32" s="32"/>
      <c r="D32" s="32"/>
      <c r="E32" s="32"/>
      <c r="F32" s="32"/>
      <c r="G32" s="32"/>
      <c r="H32" s="32"/>
      <c r="I32" s="32"/>
      <c r="J32" s="32"/>
      <c r="K32" s="32"/>
      <c r="L32" s="32"/>
      <c r="M32" s="32"/>
      <c r="N32" s="32"/>
      <c r="O32" s="32"/>
      <c r="P32" s="32"/>
    </row>
    <row r="33" spans="1:16">
      <c r="A33" s="32"/>
      <c r="B33" s="32"/>
      <c r="C33" s="32"/>
      <c r="D33" s="32"/>
      <c r="E33" s="32"/>
      <c r="F33" s="32"/>
      <c r="G33" s="32"/>
      <c r="H33" s="32"/>
      <c r="I33" s="32"/>
      <c r="J33" s="32"/>
      <c r="K33" s="32"/>
      <c r="L33" s="32"/>
      <c r="M33" s="32"/>
      <c r="N33" s="32"/>
      <c r="O33" s="32"/>
      <c r="P33" s="32"/>
    </row>
    <row r="34" spans="1:16">
      <c r="A34" s="32"/>
      <c r="B34" s="32"/>
      <c r="C34" s="32"/>
      <c r="D34" s="32"/>
      <c r="E34" s="32"/>
      <c r="F34" s="32"/>
      <c r="G34" s="32"/>
      <c r="H34" s="32"/>
      <c r="I34" s="32"/>
      <c r="J34" s="32"/>
      <c r="K34" s="32"/>
      <c r="L34" s="32"/>
      <c r="M34" s="32"/>
      <c r="N34" s="32"/>
      <c r="O34" s="32"/>
      <c r="P34" s="32"/>
    </row>
    <row r="35" spans="1:16">
      <c r="A35" s="32"/>
      <c r="B35" s="32"/>
      <c r="C35" s="32"/>
      <c r="D35" s="32"/>
      <c r="E35" s="32"/>
      <c r="F35" s="32"/>
      <c r="G35" s="32"/>
      <c r="H35" s="32"/>
      <c r="I35" s="32"/>
      <c r="J35" s="32"/>
      <c r="K35" s="32"/>
      <c r="L35" s="32"/>
      <c r="M35" s="32"/>
      <c r="N35" s="32"/>
      <c r="O35" s="32"/>
      <c r="P35" s="32"/>
    </row>
    <row r="36" spans="1:16">
      <c r="A36" s="32"/>
      <c r="B36" s="32"/>
      <c r="C36" s="32"/>
      <c r="D36" s="32"/>
      <c r="E36" s="32"/>
      <c r="F36" s="32"/>
      <c r="G36" s="32"/>
      <c r="H36" s="32"/>
      <c r="I36" s="32"/>
      <c r="J36" s="32"/>
      <c r="K36" s="32"/>
      <c r="L36" s="32"/>
      <c r="M36" s="32"/>
      <c r="N36" s="32"/>
      <c r="O36" s="32"/>
      <c r="P36" s="32"/>
    </row>
    <row r="37" spans="1:16">
      <c r="B37" s="33"/>
      <c r="C37" s="33"/>
      <c r="D37" s="33"/>
      <c r="E37" s="33"/>
      <c r="F37" s="33"/>
    </row>
    <row r="38" spans="1:16">
      <c r="B38" s="33"/>
      <c r="C38" s="33"/>
      <c r="D38" s="33"/>
      <c r="E38" s="33"/>
      <c r="F38" s="33"/>
    </row>
    <row r="39" spans="1:16">
      <c r="B39" s="33"/>
      <c r="C39" s="33"/>
      <c r="D39" s="33"/>
      <c r="E39" s="33"/>
      <c r="F39" s="33"/>
    </row>
    <row r="40" spans="1:16">
      <c r="B40" s="33"/>
      <c r="C40" s="33"/>
      <c r="D40" s="33"/>
      <c r="E40" s="33"/>
      <c r="F40" s="33"/>
    </row>
    <row r="41" spans="1:16">
      <c r="B41" s="33"/>
      <c r="C41" s="33"/>
      <c r="D41" s="33"/>
      <c r="E41" s="33"/>
      <c r="F41" s="33"/>
    </row>
    <row r="42" spans="1:16">
      <c r="B42" s="33"/>
      <c r="C42" s="33"/>
      <c r="D42" s="33"/>
      <c r="E42" s="33"/>
      <c r="F42" s="33"/>
    </row>
    <row r="43" spans="1:16">
      <c r="B43" s="33"/>
      <c r="C43" s="33"/>
      <c r="D43" s="33"/>
      <c r="E43" s="33"/>
      <c r="F43" s="33"/>
    </row>
    <row r="44" spans="1:16">
      <c r="B44" s="33"/>
      <c r="C44" s="33"/>
      <c r="D44" s="33"/>
      <c r="E44" s="33"/>
      <c r="F44" s="33"/>
    </row>
    <row r="45" spans="1:16">
      <c r="B45" s="33"/>
      <c r="C45" s="33"/>
      <c r="D45" s="33"/>
      <c r="E45" s="33"/>
      <c r="F45" s="33"/>
    </row>
    <row r="46" spans="1:16">
      <c r="B46" s="33"/>
      <c r="C46" s="33"/>
      <c r="D46" s="33"/>
      <c r="E46" s="33"/>
      <c r="F46" s="33"/>
    </row>
    <row r="47" spans="1:16">
      <c r="B47" s="33"/>
      <c r="C47" s="33"/>
      <c r="D47" s="33"/>
      <c r="E47" s="33"/>
      <c r="F47" s="33"/>
    </row>
    <row r="48" spans="1:16">
      <c r="B48" s="33"/>
      <c r="C48" s="33"/>
      <c r="D48" s="33"/>
      <c r="E48" s="33"/>
      <c r="F48" s="33"/>
    </row>
    <row r="49" s="33" customFormat="1"/>
    <row r="50" s="33" customFormat="1"/>
    <row r="51" s="33" customFormat="1"/>
    <row r="52" s="33" customFormat="1"/>
    <row r="53" s="33" customFormat="1"/>
    <row r="54" s="33" customFormat="1"/>
    <row r="55" s="33" customFormat="1"/>
    <row r="56" s="33" customFormat="1"/>
    <row r="57" s="33" customFormat="1"/>
    <row r="58" s="33" customFormat="1"/>
    <row r="59" s="33" customFormat="1"/>
    <row r="60" s="33" customFormat="1"/>
    <row r="61" s="33" customFormat="1"/>
    <row r="62" s="33" customFormat="1"/>
    <row r="63" s="33" customFormat="1"/>
    <row r="64" s="33" customFormat="1"/>
    <row r="65" s="33" customFormat="1"/>
    <row r="66" s="33" customFormat="1"/>
    <row r="67" s="33" customFormat="1"/>
    <row r="68" s="33" customFormat="1"/>
    <row r="69" s="33" customFormat="1"/>
    <row r="70" s="33" customFormat="1"/>
    <row r="71" s="33" customFormat="1"/>
    <row r="72" s="33" customFormat="1"/>
    <row r="73" s="33" customFormat="1"/>
    <row r="74" s="33" customFormat="1"/>
    <row r="75" s="33" customFormat="1"/>
    <row r="76" s="33" customFormat="1"/>
    <row r="77" s="33" customFormat="1"/>
    <row r="78" s="33" customFormat="1"/>
    <row r="79" s="33" customFormat="1"/>
    <row r="80" s="33" customFormat="1"/>
    <row r="81" s="33" customFormat="1"/>
    <row r="82" s="33" customFormat="1"/>
    <row r="83" s="33" customFormat="1"/>
    <row r="84" s="33" customFormat="1"/>
    <row r="85" s="33" customFormat="1"/>
    <row r="86" s="33" customFormat="1"/>
    <row r="87" s="33" customFormat="1"/>
    <row r="88" s="33" customFormat="1"/>
    <row r="89" s="33" customFormat="1"/>
    <row r="90" s="33" customFormat="1"/>
    <row r="91" s="33" customFormat="1"/>
    <row r="92" s="33" customFormat="1"/>
    <row r="93" s="33" customFormat="1"/>
    <row r="94" s="33" customFormat="1"/>
    <row r="95" s="33" customFormat="1"/>
    <row r="96" s="33" customFormat="1"/>
    <row r="97" s="33" customFormat="1"/>
    <row r="98" s="33" customFormat="1"/>
    <row r="99" s="33" customFormat="1"/>
    <row r="100" s="33" customFormat="1"/>
    <row r="101" s="33" customFormat="1"/>
    <row r="102" s="33" customFormat="1"/>
    <row r="103" s="33" customFormat="1"/>
    <row r="104" s="33" customFormat="1"/>
    <row r="105" s="33" customFormat="1"/>
    <row r="106" s="33" customFormat="1"/>
    <row r="107" s="33" customFormat="1"/>
    <row r="108" s="33" customFormat="1"/>
    <row r="109" s="33" customFormat="1"/>
    <row r="110" s="33" customFormat="1"/>
    <row r="111" s="33" customFormat="1"/>
    <row r="112" s="33" customFormat="1"/>
    <row r="113" s="33" customFormat="1"/>
    <row r="114" s="33" customFormat="1"/>
    <row r="115" s="33" customFormat="1"/>
    <row r="116" s="33" customFormat="1"/>
  </sheetData>
  <sheetProtection password="CD8E" sheet="1" objects="1" scenarios="1" selectLockedCells="1"/>
  <mergeCells count="3">
    <mergeCell ref="E3:K4"/>
    <mergeCell ref="D22:L22"/>
    <mergeCell ref="A3:C17"/>
  </mergeCells>
  <phoneticPr fontId="0" type="noConversion"/>
  <conditionalFormatting sqref="D22:L22">
    <cfRule type="cellIs" dxfId="52" priority="1" operator="equal">
      <formula>0</formula>
    </cfRule>
  </conditionalFormatting>
  <pageMargins left="0.75" right="0.75" top="1" bottom="1" header="0.5" footer="0.5"/>
  <pageSetup orientation="portrait" horizontalDpi="200" verticalDpi="2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locked="0" defaultSize="0" autoLine="0" autoPict="0">
                <anchor moveWithCells="1">
                  <from>
                    <xdr:col>4</xdr:col>
                    <xdr:colOff>558800</xdr:colOff>
                    <xdr:row>13</xdr:row>
                    <xdr:rowOff>25400</xdr:rowOff>
                  </from>
                  <to>
                    <xdr:col>6</xdr:col>
                    <xdr:colOff>114300</xdr:colOff>
                    <xdr:row>14</xdr:row>
                    <xdr:rowOff>50800</xdr:rowOff>
                  </to>
                </anchor>
              </controlPr>
            </control>
          </mc:Choice>
          <mc:Fallback/>
        </mc:AlternateContent>
        <mc:AlternateContent xmlns:mc="http://schemas.openxmlformats.org/markup-compatibility/2006">
          <mc:Choice Requires="x14">
            <control shapeId="3074" r:id="rId4" name="Drop Down 2">
              <controlPr locked="0" defaultSize="0" autoLine="0" autoPict="0">
                <anchor moveWithCells="1">
                  <from>
                    <xdr:col>6</xdr:col>
                    <xdr:colOff>419100</xdr:colOff>
                    <xdr:row>13</xdr:row>
                    <xdr:rowOff>38100</xdr:rowOff>
                  </from>
                  <to>
                    <xdr:col>7</xdr:col>
                    <xdr:colOff>622300</xdr:colOff>
                    <xdr:row>14</xdr:row>
                    <xdr:rowOff>63500</xdr:rowOff>
                  </to>
                </anchor>
              </controlPr>
            </control>
          </mc:Choice>
          <mc:Fallback/>
        </mc:AlternateContent>
        <mc:AlternateContent xmlns:mc="http://schemas.openxmlformats.org/markup-compatibility/2006">
          <mc:Choice Requires="x14">
            <control shapeId="3075" r:id="rId5" name="Drop Down 3">
              <controlPr locked="0" defaultSize="0" autoLine="0" autoPict="0">
                <anchor moveWithCells="1">
                  <from>
                    <xdr:col>8</xdr:col>
                    <xdr:colOff>292100</xdr:colOff>
                    <xdr:row>13</xdr:row>
                    <xdr:rowOff>25400</xdr:rowOff>
                  </from>
                  <to>
                    <xdr:col>10</xdr:col>
                    <xdr:colOff>101600</xdr:colOff>
                    <xdr:row>14</xdr:row>
                    <xdr:rowOff>50800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indexed="31"/>
  </sheetPr>
  <dimension ref="A4:X94"/>
  <sheetViews>
    <sheetView workbookViewId="0">
      <selection activeCell="L48" sqref="L48"/>
    </sheetView>
  </sheetViews>
  <sheetFormatPr baseColWidth="10" defaultColWidth="8.83203125" defaultRowHeight="13" x14ac:dyDescent="0"/>
  <cols>
    <col min="1" max="1" width="4" style="36" customWidth="1"/>
    <col min="2" max="11" width="8.83203125" style="40"/>
    <col min="12" max="12" width="15.5" style="40" customWidth="1"/>
    <col min="13" max="13" width="4.1640625" style="98" customWidth="1"/>
    <col min="14" max="24" width="8.83203125" style="23"/>
  </cols>
  <sheetData>
    <row r="4" spans="12:12" ht="26">
      <c r="L4" s="163" t="str">
        <f>ConDviSols!Q1</f>
        <v>Original Population</v>
      </c>
    </row>
    <row r="5" spans="12:12" ht="13.5" customHeight="1">
      <c r="L5" s="164"/>
    </row>
    <row r="10" spans="12:12">
      <c r="L10" s="38" t="s">
        <v>266</v>
      </c>
    </row>
    <row r="11" spans="12:12">
      <c r="L11" s="38" t="s">
        <v>267</v>
      </c>
    </row>
    <row r="18" spans="1:11" ht="12.75" customHeight="1">
      <c r="C18" s="191" t="str">
        <f>ScalSols!C18</f>
        <v>We now consider making our economy bigger by adding additional buyers and sellers.  We don't do this in a haphazard manner.  Instead we do this in a conscious way to "fill in the gaps" in value on the demand side and in opportunity cost on the supply side.  In other words, we bring in new traders who are similar but not identical to the ones who were already in the economy.  You can see the effect by clicking the arrow button located on the right side of the graph above. Note that each horiztonal step is one unit, irrespective of the scale.</v>
      </c>
      <c r="D18" s="191"/>
      <c r="E18" s="191"/>
      <c r="F18" s="191"/>
      <c r="G18" s="191"/>
      <c r="H18" s="191"/>
      <c r="I18" s="191"/>
      <c r="J18" s="191"/>
      <c r="K18" s="191"/>
    </row>
    <row r="19" spans="1:11">
      <c r="C19" s="191"/>
      <c r="D19" s="191"/>
      <c r="E19" s="191"/>
      <c r="F19" s="191"/>
      <c r="G19" s="191"/>
      <c r="H19" s="191"/>
      <c r="I19" s="191"/>
      <c r="J19" s="191"/>
      <c r="K19" s="191"/>
    </row>
    <row r="20" spans="1:11">
      <c r="C20" s="191"/>
      <c r="D20" s="191"/>
      <c r="E20" s="191"/>
      <c r="F20" s="191"/>
      <c r="G20" s="191"/>
      <c r="H20" s="191"/>
      <c r="I20" s="191"/>
      <c r="J20" s="191"/>
      <c r="K20" s="191"/>
    </row>
    <row r="21" spans="1:11">
      <c r="C21" s="191"/>
      <c r="D21" s="191"/>
      <c r="E21" s="191"/>
      <c r="F21" s="191"/>
      <c r="G21" s="191"/>
      <c r="H21" s="191"/>
      <c r="I21" s="191"/>
      <c r="J21" s="191"/>
      <c r="K21" s="191"/>
    </row>
    <row r="22" spans="1:11">
      <c r="C22" s="191"/>
      <c r="D22" s="191"/>
      <c r="E22" s="191"/>
      <c r="F22" s="191"/>
      <c r="G22" s="191"/>
      <c r="H22" s="191"/>
      <c r="I22" s="191"/>
      <c r="J22" s="191"/>
      <c r="K22" s="191"/>
    </row>
    <row r="23" spans="1:11">
      <c r="C23" s="191"/>
      <c r="D23" s="191"/>
      <c r="E23" s="191"/>
      <c r="F23" s="191"/>
      <c r="G23" s="191"/>
      <c r="H23" s="191"/>
      <c r="I23" s="191"/>
      <c r="J23" s="191"/>
      <c r="K23" s="191"/>
    </row>
    <row r="24" spans="1:11">
      <c r="C24" s="191"/>
      <c r="D24" s="191"/>
      <c r="E24" s="191"/>
      <c r="F24" s="191"/>
      <c r="G24" s="191"/>
      <c r="H24" s="191"/>
      <c r="I24" s="191"/>
      <c r="J24" s="191"/>
      <c r="K24" s="191"/>
    </row>
    <row r="26" spans="1:11">
      <c r="A26" s="36" t="s">
        <v>31</v>
      </c>
      <c r="C26" s="40" t="str">
        <f>ScalSols!C26</f>
        <v>To assist in making comparisons it is helpful to divide the traders into three categories.</v>
      </c>
    </row>
    <row r="27" spans="1:11">
      <c r="C27" s="40" t="str">
        <f>ScalSols!C27</f>
        <v xml:space="preserve">The </v>
      </c>
      <c r="D27" s="95" t="str">
        <f>ScalSols!D27</f>
        <v>marginal</v>
      </c>
      <c r="E27" s="40" t="str">
        <f>ScalSols!E27</f>
        <v xml:space="preserve">buyers are the buyer with the lowest valuation who makes a </v>
      </c>
    </row>
    <row r="28" spans="1:11">
      <c r="C28" s="40" t="str">
        <f>ScalSols!C28</f>
        <v>purchase in the competitive equilibrium and the buyer with the highest valuation who is</v>
      </c>
    </row>
    <row r="29" spans="1:11">
      <c r="C29" s="40" t="str">
        <f>ScalSols!C29</f>
        <v>out of the market.  Other buyers who are in the market are termed</v>
      </c>
      <c r="K29" s="95" t="str">
        <f>ScalSols!K29</f>
        <v>inframarginal</v>
      </c>
    </row>
    <row r="30" spans="1:11">
      <c r="C30" s="40" t="str">
        <f>ScalSols!C30</f>
        <v>while the other buyers who are out of the market are termed</v>
      </c>
      <c r="J30" s="95" t="str">
        <f>ScalSols!J30</f>
        <v>extramarginal.</v>
      </c>
    </row>
    <row r="31" spans="1:11">
      <c r="C31" s="40" t="str">
        <f>ScalSols!C31</f>
        <v>In an analogous fashion one can define</v>
      </c>
      <c r="H31" s="95" t="str">
        <f>ScalSols!H31</f>
        <v>marginal, inframarginal, and extramarginal</v>
      </c>
      <c r="I31" s="95"/>
      <c r="J31" s="95"/>
    </row>
    <row r="32" spans="1:11">
      <c r="C32" s="40" t="str">
        <f>ScalSols!C32</f>
        <v xml:space="preserve">sellers who are respectively those sellers on the boundary of trade, those that are </v>
      </c>
    </row>
    <row r="33" spans="3:3">
      <c r="C33" s="40" t="str">
        <f>ScalSols!C33</f>
        <v>definitely in the market, and those that are definitely out of the market.</v>
      </c>
    </row>
    <row r="35" spans="3:3">
      <c r="C35" s="40" t="str">
        <f>ScalSols!C35</f>
        <v>The effect of increasing the population size by filling in the gaps is to :</v>
      </c>
    </row>
    <row r="38" spans="3:3">
      <c r="C38" s="96">
        <f>ScalSols!C38</f>
        <v>0</v>
      </c>
    </row>
    <row r="39" spans="3:3">
      <c r="C39" s="49">
        <f>ScalSols!C39</f>
        <v>0</v>
      </c>
    </row>
    <row r="42" spans="3:3">
      <c r="C42" s="96">
        <f>ScalSols!C42</f>
        <v>0</v>
      </c>
    </row>
    <row r="43" spans="3:3">
      <c r="C43" s="49">
        <f>ScalSols!C43</f>
        <v>0</v>
      </c>
    </row>
    <row r="46" spans="3:3">
      <c r="C46" s="96">
        <f>ScalSols!C46</f>
        <v>0</v>
      </c>
    </row>
    <row r="47" spans="3:3">
      <c r="C47" s="49">
        <f>ScalSols!C47</f>
        <v>0</v>
      </c>
    </row>
    <row r="49" spans="1:10">
      <c r="C49" s="49">
        <f>ScalSols!C49</f>
        <v>0</v>
      </c>
    </row>
    <row r="50" spans="1:10">
      <c r="C50" s="49">
        <f>ScalSols!C50</f>
        <v>0</v>
      </c>
    </row>
    <row r="53" spans="1:10">
      <c r="C53" s="96">
        <f>ScalSols!C53</f>
        <v>0</v>
      </c>
    </row>
    <row r="54" spans="1:10" ht="12.75" customHeight="1">
      <c r="A54" s="36" t="s">
        <v>43</v>
      </c>
      <c r="B54" s="97"/>
      <c r="C54" s="233">
        <f>ScalSols!C54</f>
        <v>0</v>
      </c>
      <c r="D54" s="233"/>
      <c r="E54" s="233"/>
      <c r="F54" s="233"/>
      <c r="G54" s="233"/>
      <c r="H54" s="233"/>
      <c r="I54" s="233"/>
      <c r="J54" s="233"/>
    </row>
    <row r="55" spans="1:10">
      <c r="C55" s="233"/>
      <c r="D55" s="233"/>
      <c r="E55" s="233"/>
      <c r="F55" s="233"/>
      <c r="G55" s="233"/>
      <c r="H55" s="233"/>
      <c r="I55" s="233"/>
      <c r="J55" s="233"/>
    </row>
    <row r="56" spans="1:10">
      <c r="C56" s="233"/>
      <c r="D56" s="233"/>
      <c r="E56" s="233"/>
      <c r="F56" s="233"/>
      <c r="G56" s="233"/>
      <c r="H56" s="233"/>
      <c r="I56" s="233"/>
      <c r="J56" s="233"/>
    </row>
    <row r="57" spans="1:10">
      <c r="C57" s="233"/>
      <c r="D57" s="233"/>
      <c r="E57" s="233"/>
      <c r="F57" s="233"/>
      <c r="G57" s="233"/>
      <c r="H57" s="233"/>
      <c r="I57" s="233"/>
      <c r="J57" s="233"/>
    </row>
    <row r="58" spans="1:10">
      <c r="C58" s="233"/>
      <c r="D58" s="233"/>
      <c r="E58" s="233"/>
      <c r="F58" s="233"/>
      <c r="G58" s="233"/>
      <c r="H58" s="233"/>
      <c r="I58" s="233"/>
      <c r="J58" s="233"/>
    </row>
    <row r="61" spans="1:10" ht="12.75" customHeight="1">
      <c r="C61" s="232">
        <f>ScalSols!C61</f>
        <v>0</v>
      </c>
      <c r="D61" s="232"/>
      <c r="E61" s="232"/>
      <c r="F61" s="232"/>
      <c r="G61" s="232"/>
      <c r="H61" s="232"/>
      <c r="I61" s="232"/>
    </row>
    <row r="62" spans="1:10">
      <c r="C62" s="232"/>
      <c r="D62" s="232"/>
      <c r="E62" s="232"/>
      <c r="F62" s="232"/>
      <c r="G62" s="232"/>
      <c r="H62" s="232"/>
      <c r="I62" s="232"/>
    </row>
    <row r="63" spans="1:10">
      <c r="C63" s="232"/>
      <c r="D63" s="232"/>
      <c r="E63" s="232"/>
      <c r="F63" s="232"/>
      <c r="G63" s="232"/>
      <c r="H63" s="232"/>
      <c r="I63" s="232"/>
    </row>
    <row r="65" spans="2:10">
      <c r="C65" s="191">
        <f>ScalSols!C65</f>
        <v>0</v>
      </c>
      <c r="D65" s="191"/>
      <c r="E65" s="191"/>
      <c r="F65" s="191"/>
      <c r="G65" s="191"/>
      <c r="H65" s="191"/>
      <c r="I65" s="191"/>
      <c r="J65" s="213"/>
    </row>
    <row r="66" spans="2:10">
      <c r="C66" s="191"/>
      <c r="D66" s="191"/>
      <c r="E66" s="191"/>
      <c r="F66" s="191"/>
      <c r="G66" s="191"/>
      <c r="H66" s="191"/>
      <c r="I66" s="191"/>
      <c r="J66" s="213"/>
    </row>
    <row r="67" spans="2:10">
      <c r="C67" s="191"/>
      <c r="D67" s="191"/>
      <c r="E67" s="191"/>
      <c r="F67" s="191"/>
      <c r="G67" s="191"/>
      <c r="H67" s="191"/>
      <c r="I67" s="191"/>
      <c r="J67" s="213"/>
    </row>
    <row r="69" spans="2:10">
      <c r="C69" s="40">
        <f>ScalSols!C69</f>
        <v>0</v>
      </c>
    </row>
    <row r="72" spans="2:10">
      <c r="C72" s="96">
        <f>ScalSols!C72</f>
        <v>0</v>
      </c>
    </row>
    <row r="73" spans="2:10">
      <c r="C73" s="96"/>
    </row>
    <row r="74" spans="2:10">
      <c r="C74" s="40">
        <f>ScalSols!C74</f>
        <v>0</v>
      </c>
    </row>
    <row r="77" spans="2:10">
      <c r="C77" s="96">
        <f>ScalSols!C77</f>
        <v>0</v>
      </c>
    </row>
    <row r="78" spans="2:10">
      <c r="B78" s="40" t="s">
        <v>13</v>
      </c>
    </row>
    <row r="79" spans="2:10">
      <c r="C79" s="40">
        <f>ScalSols!C79</f>
        <v>0</v>
      </c>
    </row>
    <row r="82" spans="2:10">
      <c r="C82" s="96">
        <f>ScalSols!C82</f>
        <v>0</v>
      </c>
    </row>
    <row r="84" spans="2:10" ht="12.75" customHeight="1">
      <c r="B84" s="97"/>
      <c r="C84" s="191">
        <f>ScalSols!C84</f>
        <v>0</v>
      </c>
      <c r="D84" s="191"/>
      <c r="E84" s="191"/>
      <c r="F84" s="191"/>
      <c r="G84" s="191"/>
      <c r="H84" s="191"/>
      <c r="I84" s="191"/>
      <c r="J84" s="191"/>
    </row>
    <row r="85" spans="2:10">
      <c r="C85" s="191"/>
      <c r="D85" s="191"/>
      <c r="E85" s="191"/>
      <c r="F85" s="191"/>
      <c r="G85" s="191"/>
      <c r="H85" s="191"/>
      <c r="I85" s="191"/>
      <c r="J85" s="191"/>
    </row>
    <row r="86" spans="2:10">
      <c r="C86" s="191"/>
      <c r="D86" s="191"/>
      <c r="E86" s="191"/>
      <c r="F86" s="191"/>
      <c r="G86" s="191"/>
      <c r="H86" s="191"/>
      <c r="I86" s="191"/>
      <c r="J86" s="191"/>
    </row>
    <row r="87" spans="2:10">
      <c r="C87" s="191"/>
      <c r="D87" s="191"/>
      <c r="E87" s="191"/>
      <c r="F87" s="191"/>
      <c r="G87" s="191"/>
      <c r="H87" s="191"/>
      <c r="I87" s="191"/>
      <c r="J87" s="191"/>
    </row>
    <row r="88" spans="2:10">
      <c r="C88" s="191"/>
      <c r="D88" s="191"/>
      <c r="E88" s="191"/>
      <c r="F88" s="191"/>
      <c r="G88" s="191"/>
      <c r="H88" s="191"/>
      <c r="I88" s="191"/>
      <c r="J88" s="191"/>
    </row>
    <row r="90" spans="2:10">
      <c r="C90" s="191">
        <f>ScalSols!C90</f>
        <v>0</v>
      </c>
      <c r="D90" s="191"/>
      <c r="E90" s="191"/>
      <c r="F90" s="191"/>
      <c r="G90" s="191"/>
      <c r="H90" s="191"/>
      <c r="I90" s="191"/>
      <c r="J90" s="191"/>
    </row>
    <row r="91" spans="2:10">
      <c r="C91" s="191"/>
      <c r="D91" s="191"/>
      <c r="E91" s="191"/>
      <c r="F91" s="191"/>
      <c r="G91" s="191"/>
      <c r="H91" s="191"/>
      <c r="I91" s="191"/>
      <c r="J91" s="191"/>
    </row>
    <row r="92" spans="2:10">
      <c r="C92" s="191"/>
      <c r="D92" s="191"/>
      <c r="E92" s="191"/>
      <c r="F92" s="191"/>
      <c r="G92" s="191"/>
      <c r="H92" s="191"/>
      <c r="I92" s="191"/>
      <c r="J92" s="191"/>
    </row>
    <row r="94" spans="2:10" ht="16">
      <c r="C94" s="129">
        <f>ScalSols!K90</f>
        <v>0</v>
      </c>
    </row>
  </sheetData>
  <sheetProtection password="CD8E" sheet="1" objects="1" scenarios="1" selectLockedCells="1"/>
  <mergeCells count="6">
    <mergeCell ref="C90:J92"/>
    <mergeCell ref="C61:I63"/>
    <mergeCell ref="C65:J67"/>
    <mergeCell ref="C18:K24"/>
    <mergeCell ref="C54:J58"/>
    <mergeCell ref="C84:J88"/>
  </mergeCells>
  <phoneticPr fontId="8" type="noConversion"/>
  <conditionalFormatting sqref="B26:M94">
    <cfRule type="beginsWith" dxfId="23" priority="1" operator="beginsWith" text="Incorrect">
      <formula>LEFT(B26,LEN("Incorrect"))="Incorrect"</formula>
    </cfRule>
    <cfRule type="cellIs" dxfId="22" priority="2" operator="equal">
      <formula>"Incorrect"</formula>
    </cfRule>
    <cfRule type="cellIs" dxfId="21" priority="3" operator="equal">
      <formula>"Correct"</formula>
    </cfRule>
    <cfRule type="cellIs" dxfId="20" priority="4" operator="equal">
      <formula>0</formula>
    </cfRule>
  </conditionalFormatting>
  <pageMargins left="0.75" right="0.75" top="1" bottom="1" header="0.5" footer="0.5"/>
  <pageSetup orientation="portrait" horizontalDpi="200" verticalDpi="200"/>
  <headerFooter alignWithMargins="0"/>
  <drawing r:id="rId1"/>
  <legacyDrawing r:id="rId2"/>
  <oleObjects>
    <mc:AlternateContent xmlns:mc="http://schemas.openxmlformats.org/markup-compatibility/2006">
      <mc:Choice Requires="x14">
        <oleObject progId="word.document.8" dvAspect="DVASPECT_ICON" shapeId="53259" r:id="rId3">
          <objectPr locked="0" defaultSize="0" autoPict="0" r:id="rId4">
            <anchor moveWithCells="1">
              <from>
                <xdr:col>10</xdr:col>
                <xdr:colOff>482600</xdr:colOff>
                <xdr:row>11</xdr:row>
                <xdr:rowOff>25400</xdr:rowOff>
              </from>
              <to>
                <xdr:col>11</xdr:col>
                <xdr:colOff>927100</xdr:colOff>
                <xdr:row>15</xdr:row>
                <xdr:rowOff>50800</xdr:rowOff>
              </to>
            </anchor>
          </objectPr>
        </oleObject>
      </mc:Choice>
      <mc:Fallback>
        <oleObject progId="word.document.8" dvAspect="DVASPECT_ICON" shapeId="53259" r:id="rId3"/>
      </mc:Fallback>
    </mc:AlternateContent>
  </oleObjects>
  <mc:AlternateContent xmlns:mc="http://schemas.openxmlformats.org/markup-compatibility/2006">
    <mc:Choice Requires="x14">
      <controls>
        <mc:AlternateContent xmlns:mc="http://schemas.openxmlformats.org/markup-compatibility/2006">
          <mc:Choice Requires="x14">
            <control shapeId="53249" r:id="rId5" name="Spinner 1">
              <controlPr defaultSize="0" autoPict="0">
                <anchor moveWithCells="1" sizeWithCells="1">
                  <from>
                    <xdr:col>10</xdr:col>
                    <xdr:colOff>635000</xdr:colOff>
                    <xdr:row>4</xdr:row>
                    <xdr:rowOff>127000</xdr:rowOff>
                  </from>
                  <to>
                    <xdr:col>11</xdr:col>
                    <xdr:colOff>482600</xdr:colOff>
                    <xdr:row>7</xdr:row>
                    <xdr:rowOff>38100</xdr:rowOff>
                  </to>
                </anchor>
              </controlPr>
            </control>
          </mc:Choice>
          <mc:Fallback/>
        </mc:AlternateContent>
        <mc:AlternateContent xmlns:mc="http://schemas.openxmlformats.org/markup-compatibility/2006">
          <mc:Choice Requires="x14">
            <control shapeId="53251" r:id="rId6" name="Drop Down 3">
              <controlPr defaultSize="0" autoLine="0" autoPict="0">
                <anchor moveWithCells="1">
                  <from>
                    <xdr:col>2</xdr:col>
                    <xdr:colOff>12700</xdr:colOff>
                    <xdr:row>35</xdr:row>
                    <xdr:rowOff>25400</xdr:rowOff>
                  </from>
                  <to>
                    <xdr:col>8</xdr:col>
                    <xdr:colOff>457200</xdr:colOff>
                    <xdr:row>36</xdr:row>
                    <xdr:rowOff>88900</xdr:rowOff>
                  </to>
                </anchor>
              </controlPr>
            </control>
          </mc:Choice>
          <mc:Fallback/>
        </mc:AlternateContent>
        <mc:AlternateContent xmlns:mc="http://schemas.openxmlformats.org/markup-compatibility/2006">
          <mc:Choice Requires="x14">
            <control shapeId="53252" r:id="rId7" name="Drop Down 4">
              <controlPr defaultSize="0" autoLine="0" autoPict="0">
                <anchor moveWithCells="1">
                  <from>
                    <xdr:col>2</xdr:col>
                    <xdr:colOff>25400</xdr:colOff>
                    <xdr:row>39</xdr:row>
                    <xdr:rowOff>12700</xdr:rowOff>
                  </from>
                  <to>
                    <xdr:col>11</xdr:col>
                    <xdr:colOff>139700</xdr:colOff>
                    <xdr:row>40</xdr:row>
                    <xdr:rowOff>50800</xdr:rowOff>
                  </to>
                </anchor>
              </controlPr>
            </control>
          </mc:Choice>
          <mc:Fallback/>
        </mc:AlternateContent>
        <mc:AlternateContent xmlns:mc="http://schemas.openxmlformats.org/markup-compatibility/2006">
          <mc:Choice Requires="x14">
            <control shapeId="53253" r:id="rId8" name="Drop Down 5">
              <controlPr defaultSize="0" autoLine="0" autoPict="0">
                <anchor moveWithCells="1">
                  <from>
                    <xdr:col>2</xdr:col>
                    <xdr:colOff>25400</xdr:colOff>
                    <xdr:row>43</xdr:row>
                    <xdr:rowOff>12700</xdr:rowOff>
                  </from>
                  <to>
                    <xdr:col>11</xdr:col>
                    <xdr:colOff>254000</xdr:colOff>
                    <xdr:row>44</xdr:row>
                    <xdr:rowOff>50800</xdr:rowOff>
                  </to>
                </anchor>
              </controlPr>
            </control>
          </mc:Choice>
          <mc:Fallback/>
        </mc:AlternateContent>
        <mc:AlternateContent xmlns:mc="http://schemas.openxmlformats.org/markup-compatibility/2006">
          <mc:Choice Requires="x14">
            <control shapeId="53254" r:id="rId9" name="Drop Down 6">
              <controlPr defaultSize="0" autoLine="0" autoPict="0">
                <anchor moveWithCells="1">
                  <from>
                    <xdr:col>2</xdr:col>
                    <xdr:colOff>12700</xdr:colOff>
                    <xdr:row>50</xdr:row>
                    <xdr:rowOff>12700</xdr:rowOff>
                  </from>
                  <to>
                    <xdr:col>7</xdr:col>
                    <xdr:colOff>571500</xdr:colOff>
                    <xdr:row>51</xdr:row>
                    <xdr:rowOff>50800</xdr:rowOff>
                  </to>
                </anchor>
              </controlPr>
            </control>
          </mc:Choice>
          <mc:Fallback/>
        </mc:AlternateContent>
        <mc:AlternateContent xmlns:mc="http://schemas.openxmlformats.org/markup-compatibility/2006">
          <mc:Choice Requires="x14">
            <control shapeId="53255" r:id="rId10" name="Drop Down 7">
              <controlPr defaultSize="0" autoLine="0" autoPict="0">
                <anchor moveWithCells="1">
                  <from>
                    <xdr:col>2</xdr:col>
                    <xdr:colOff>12700</xdr:colOff>
                    <xdr:row>58</xdr:row>
                    <xdr:rowOff>12700</xdr:rowOff>
                  </from>
                  <to>
                    <xdr:col>7</xdr:col>
                    <xdr:colOff>355600</xdr:colOff>
                    <xdr:row>59</xdr:row>
                    <xdr:rowOff>50800</xdr:rowOff>
                  </to>
                </anchor>
              </controlPr>
            </control>
          </mc:Choice>
          <mc:Fallback/>
        </mc:AlternateContent>
        <mc:AlternateContent xmlns:mc="http://schemas.openxmlformats.org/markup-compatibility/2006">
          <mc:Choice Requires="x14">
            <control shapeId="53256" r:id="rId11" name="Drop Down 8">
              <controlPr defaultSize="0" autoLine="0" autoPict="0">
                <anchor moveWithCells="1">
                  <from>
                    <xdr:col>2</xdr:col>
                    <xdr:colOff>12700</xdr:colOff>
                    <xdr:row>69</xdr:row>
                    <xdr:rowOff>12700</xdr:rowOff>
                  </from>
                  <to>
                    <xdr:col>11</xdr:col>
                    <xdr:colOff>254000</xdr:colOff>
                    <xdr:row>70</xdr:row>
                    <xdr:rowOff>50800</xdr:rowOff>
                  </to>
                </anchor>
              </controlPr>
            </control>
          </mc:Choice>
          <mc:Fallback/>
        </mc:AlternateContent>
        <mc:AlternateContent xmlns:mc="http://schemas.openxmlformats.org/markup-compatibility/2006">
          <mc:Choice Requires="x14">
            <control shapeId="53257" r:id="rId12" name="Drop Down 9">
              <controlPr defaultSize="0" autoLine="0" autoPict="0">
                <anchor moveWithCells="1">
                  <from>
                    <xdr:col>2</xdr:col>
                    <xdr:colOff>12700</xdr:colOff>
                    <xdr:row>74</xdr:row>
                    <xdr:rowOff>12700</xdr:rowOff>
                  </from>
                  <to>
                    <xdr:col>10</xdr:col>
                    <xdr:colOff>215900</xdr:colOff>
                    <xdr:row>75</xdr:row>
                    <xdr:rowOff>50800</xdr:rowOff>
                  </to>
                </anchor>
              </controlPr>
            </control>
          </mc:Choice>
          <mc:Fallback/>
        </mc:AlternateContent>
        <mc:AlternateContent xmlns:mc="http://schemas.openxmlformats.org/markup-compatibility/2006">
          <mc:Choice Requires="x14">
            <control shapeId="53258" r:id="rId13" name="Drop Down 10">
              <controlPr defaultSize="0" autoLine="0" autoPict="0">
                <anchor moveWithCells="1">
                  <from>
                    <xdr:col>2</xdr:col>
                    <xdr:colOff>12700</xdr:colOff>
                    <xdr:row>79</xdr:row>
                    <xdr:rowOff>12700</xdr:rowOff>
                  </from>
                  <to>
                    <xdr:col>10</xdr:col>
                    <xdr:colOff>190500</xdr:colOff>
                    <xdr:row>80</xdr:row>
                    <xdr:rowOff>63500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dimension ref="A6:M92"/>
  <sheetViews>
    <sheetView workbookViewId="0"/>
  </sheetViews>
  <sheetFormatPr baseColWidth="10" defaultColWidth="8.83203125" defaultRowHeight="13" x14ac:dyDescent="0"/>
  <cols>
    <col min="1" max="1" width="8.83203125" style="15"/>
    <col min="2" max="11" width="8.83203125" style="47"/>
  </cols>
  <sheetData>
    <row r="6" spans="12:12">
      <c r="L6" s="1" t="str">
        <f>ConDviSols!Q1</f>
        <v>Original Population</v>
      </c>
    </row>
    <row r="18" spans="1:13">
      <c r="C18" s="228" t="s">
        <v>105</v>
      </c>
      <c r="D18" s="228"/>
      <c r="E18" s="228"/>
      <c r="F18" s="228"/>
      <c r="G18" s="228"/>
      <c r="H18" s="228"/>
      <c r="I18" s="228"/>
      <c r="J18" s="228"/>
    </row>
    <row r="19" spans="1:13">
      <c r="C19" s="228"/>
      <c r="D19" s="228"/>
      <c r="E19" s="228"/>
      <c r="F19" s="228"/>
      <c r="G19" s="228"/>
      <c r="H19" s="228"/>
      <c r="I19" s="228"/>
      <c r="J19" s="228"/>
    </row>
    <row r="20" spans="1:13">
      <c r="C20" s="228"/>
      <c r="D20" s="228"/>
      <c r="E20" s="228"/>
      <c r="F20" s="228"/>
      <c r="G20" s="228"/>
      <c r="H20" s="228"/>
      <c r="I20" s="228"/>
      <c r="J20" s="228"/>
    </row>
    <row r="21" spans="1:13">
      <c r="C21" s="228"/>
      <c r="D21" s="228"/>
      <c r="E21" s="228"/>
      <c r="F21" s="228"/>
      <c r="G21" s="228"/>
      <c r="H21" s="228"/>
      <c r="I21" s="228"/>
      <c r="J21" s="228"/>
    </row>
    <row r="22" spans="1:13">
      <c r="C22" s="228"/>
      <c r="D22" s="228"/>
      <c r="E22" s="228"/>
      <c r="F22" s="228"/>
      <c r="G22" s="228"/>
      <c r="H22" s="228"/>
      <c r="I22" s="228"/>
      <c r="J22" s="228"/>
    </row>
    <row r="23" spans="1:13">
      <c r="C23" s="228"/>
      <c r="D23" s="228"/>
      <c r="E23" s="228"/>
      <c r="F23" s="228"/>
      <c r="G23" s="228"/>
      <c r="H23" s="228"/>
      <c r="I23" s="228"/>
      <c r="J23" s="228"/>
    </row>
    <row r="24" spans="1:13">
      <c r="C24" s="228"/>
      <c r="D24" s="228"/>
      <c r="E24" s="228"/>
      <c r="F24" s="228"/>
      <c r="G24" s="228"/>
      <c r="H24" s="228"/>
      <c r="I24" s="228"/>
      <c r="J24" s="228"/>
    </row>
    <row r="26" spans="1:13">
      <c r="A26" s="15" t="s">
        <v>31</v>
      </c>
      <c r="C26" s="47" t="s">
        <v>118</v>
      </c>
    </row>
    <row r="27" spans="1:13">
      <c r="C27" s="47" t="s">
        <v>106</v>
      </c>
      <c r="D27" s="92" t="s">
        <v>107</v>
      </c>
      <c r="E27" s="47" t="s">
        <v>108</v>
      </c>
    </row>
    <row r="28" spans="1:13">
      <c r="C28" s="47" t="s">
        <v>109</v>
      </c>
    </row>
    <row r="29" spans="1:13">
      <c r="C29" s="47" t="s">
        <v>143</v>
      </c>
      <c r="K29" s="92" t="s">
        <v>142</v>
      </c>
      <c r="M29" s="92"/>
    </row>
    <row r="30" spans="1:13">
      <c r="C30" s="47" t="s">
        <v>110</v>
      </c>
      <c r="J30" s="92" t="s">
        <v>111</v>
      </c>
    </row>
    <row r="31" spans="1:13">
      <c r="C31" s="47" t="s">
        <v>112</v>
      </c>
      <c r="H31" s="92" t="s">
        <v>113</v>
      </c>
      <c r="I31" s="92"/>
      <c r="J31" s="92"/>
    </row>
    <row r="32" spans="1:13">
      <c r="C32" s="47" t="s">
        <v>130</v>
      </c>
    </row>
    <row r="33" spans="3:12">
      <c r="C33" s="47" t="s">
        <v>114</v>
      </c>
    </row>
    <row r="35" spans="3:12">
      <c r="C35" s="47" t="s">
        <v>119</v>
      </c>
      <c r="L35" t="s">
        <v>115</v>
      </c>
    </row>
    <row r="36" spans="3:12">
      <c r="J36" s="113">
        <v>1</v>
      </c>
      <c r="L36" t="s">
        <v>116</v>
      </c>
    </row>
    <row r="37" spans="3:12">
      <c r="J37" s="47">
        <v>4</v>
      </c>
      <c r="L37" t="s">
        <v>117</v>
      </c>
    </row>
    <row r="38" spans="3:12">
      <c r="C38" s="93">
        <f>IF(J36=1,0,IF(NOT(J36=J37),"Incorrect","Correct"))</f>
        <v>0</v>
      </c>
    </row>
    <row r="39" spans="3:12">
      <c r="C39" s="82">
        <f>IF(NOT(J36=J37),0,"and")</f>
        <v>0</v>
      </c>
    </row>
    <row r="40" spans="3:12">
      <c r="J40" s="113">
        <v>1</v>
      </c>
      <c r="L40" t="s">
        <v>115</v>
      </c>
    </row>
    <row r="41" spans="3:12">
      <c r="J41" s="47">
        <v>3</v>
      </c>
      <c r="L41" t="s">
        <v>120</v>
      </c>
    </row>
    <row r="42" spans="3:12">
      <c r="C42" s="93">
        <f>IF(OR(NOT(J36=J37),J40=1),0,IF(NOT(J40=J41),"Incorrect","Correct"))</f>
        <v>0</v>
      </c>
      <c r="L42" t="s">
        <v>122</v>
      </c>
    </row>
    <row r="43" spans="3:12">
      <c r="C43" s="82">
        <f>IF(OR(NOT(J36=J37),NOT(J40=J41)),0,"and")</f>
        <v>0</v>
      </c>
    </row>
    <row r="44" spans="3:12">
      <c r="J44" s="113">
        <v>1</v>
      </c>
      <c r="L44" t="s">
        <v>115</v>
      </c>
    </row>
    <row r="45" spans="3:12">
      <c r="J45" s="47">
        <v>3</v>
      </c>
      <c r="L45" t="s">
        <v>121</v>
      </c>
    </row>
    <row r="46" spans="3:12">
      <c r="C46" s="93">
        <f>IF(OR(NOT(C42="Correct"),J44=1),0,IF(NOT(J44=J45),"Incorrect","Correct"))</f>
        <v>0</v>
      </c>
      <c r="L46" s="110" t="s">
        <v>310</v>
      </c>
    </row>
    <row r="47" spans="3:12">
      <c r="C47" s="82">
        <f>IF(OR(C46=0,NOT(J44=J45)),0,"and likewise for the supply side of the economy.")</f>
        <v>0</v>
      </c>
    </row>
    <row r="49" spans="1:12">
      <c r="B49" s="47" t="s">
        <v>123</v>
      </c>
      <c r="C49" s="82">
        <f>IF(OR(C46=0,NOT(J$44=J$45)),0,B49)</f>
        <v>0</v>
      </c>
    </row>
    <row r="50" spans="1:12">
      <c r="B50" s="47" t="s">
        <v>124</v>
      </c>
      <c r="C50" s="82">
        <f>IF(OR(C46=0,NOT(J$44=J$45)),0,B50)</f>
        <v>0</v>
      </c>
      <c r="L50" t="s">
        <v>125</v>
      </c>
    </row>
    <row r="51" spans="1:12">
      <c r="J51" s="113">
        <v>1</v>
      </c>
      <c r="L51" t="s">
        <v>126</v>
      </c>
    </row>
    <row r="52" spans="1:12">
      <c r="J52" s="47">
        <v>4</v>
      </c>
      <c r="L52" t="s">
        <v>127</v>
      </c>
    </row>
    <row r="53" spans="1:12">
      <c r="C53" s="93">
        <f>IF(OR(NOT(C46="Correct"),J51=1),0,IF(NOT(J51=J52),"Incorrect","Correct"))</f>
        <v>0</v>
      </c>
    </row>
    <row r="54" spans="1:12" ht="12.75" customHeight="1">
      <c r="A54" s="15" t="s">
        <v>43</v>
      </c>
      <c r="B54" s="94" t="s">
        <v>128</v>
      </c>
      <c r="C54" s="234">
        <f>IF(OR(NOT(J$44=J$45),NOT(J$51=J$52)),0,B54)</f>
        <v>0</v>
      </c>
      <c r="D54" s="234"/>
      <c r="E54" s="234"/>
      <c r="F54" s="234"/>
      <c r="G54" s="234"/>
      <c r="H54" s="234"/>
      <c r="I54" s="234"/>
    </row>
    <row r="55" spans="1:12">
      <c r="C55" s="234"/>
      <c r="D55" s="234"/>
      <c r="E55" s="234"/>
      <c r="F55" s="234"/>
      <c r="G55" s="234"/>
      <c r="H55" s="234"/>
      <c r="I55" s="234"/>
    </row>
    <row r="56" spans="1:12">
      <c r="C56" s="234"/>
      <c r="D56" s="234"/>
      <c r="E56" s="234"/>
      <c r="F56" s="234"/>
      <c r="G56" s="234"/>
      <c r="H56" s="234"/>
      <c r="I56" s="234"/>
    </row>
    <row r="57" spans="1:12">
      <c r="C57" s="234"/>
      <c r="D57" s="234"/>
      <c r="E57" s="234"/>
      <c r="F57" s="234"/>
      <c r="G57" s="234"/>
      <c r="H57" s="234"/>
      <c r="I57" s="234"/>
    </row>
    <row r="58" spans="1:12">
      <c r="C58" s="234"/>
      <c r="D58" s="234"/>
      <c r="E58" s="234"/>
      <c r="F58" s="234"/>
      <c r="G58" s="234"/>
      <c r="H58" s="234"/>
      <c r="I58" s="234"/>
    </row>
    <row r="59" spans="1:12">
      <c r="J59" s="113">
        <v>1</v>
      </c>
    </row>
    <row r="60" spans="1:12">
      <c r="J60" s="47">
        <v>2</v>
      </c>
    </row>
    <row r="61" spans="1:12" ht="12.75" customHeight="1">
      <c r="B61" s="47" t="s">
        <v>311</v>
      </c>
      <c r="C61" s="235">
        <f>IF(OR(C54=0,J59=1),0,IF(NOT(J59=J60),B61,B62))</f>
        <v>0</v>
      </c>
      <c r="D61" s="235"/>
      <c r="E61" s="235"/>
      <c r="F61" s="235"/>
      <c r="G61" s="235"/>
      <c r="H61" s="235"/>
      <c r="I61" s="235"/>
    </row>
    <row r="62" spans="1:12">
      <c r="B62" s="47" t="s">
        <v>131</v>
      </c>
      <c r="C62" s="235"/>
      <c r="D62" s="235"/>
      <c r="E62" s="235"/>
      <c r="F62" s="235"/>
      <c r="G62" s="235"/>
      <c r="H62" s="235"/>
      <c r="I62" s="235"/>
    </row>
    <row r="63" spans="1:12">
      <c r="C63" s="235"/>
      <c r="D63" s="235"/>
      <c r="E63" s="235"/>
      <c r="F63" s="235"/>
      <c r="G63" s="235"/>
      <c r="H63" s="235"/>
      <c r="I63" s="235"/>
    </row>
    <row r="65" spans="2:12">
      <c r="B65" s="47" t="s">
        <v>312</v>
      </c>
      <c r="C65" s="228">
        <f>IF(OR(C54=0,NOT(J59=J60)),0,B65)</f>
        <v>0</v>
      </c>
      <c r="D65" s="228"/>
      <c r="E65" s="228"/>
      <c r="F65" s="228"/>
      <c r="G65" s="228"/>
      <c r="H65" s="228"/>
      <c r="I65" s="228"/>
    </row>
    <row r="66" spans="2:12">
      <c r="C66" s="228"/>
      <c r="D66" s="228"/>
      <c r="E66" s="228"/>
      <c r="F66" s="228"/>
      <c r="G66" s="228"/>
      <c r="H66" s="228"/>
      <c r="I66" s="228"/>
    </row>
    <row r="67" spans="2:12">
      <c r="C67" s="228"/>
      <c r="D67" s="228"/>
      <c r="E67" s="228"/>
      <c r="F67" s="228"/>
      <c r="G67" s="228"/>
      <c r="H67" s="228"/>
      <c r="I67" s="228"/>
    </row>
    <row r="69" spans="2:12">
      <c r="B69" s="47" t="s">
        <v>268</v>
      </c>
      <c r="C69" s="47">
        <f>IF(C65=0,0,B69)</f>
        <v>0</v>
      </c>
    </row>
    <row r="70" spans="2:12">
      <c r="J70" s="113">
        <v>1</v>
      </c>
    </row>
    <row r="71" spans="2:12">
      <c r="J71" s="47">
        <v>4</v>
      </c>
      <c r="L71" t="s">
        <v>132</v>
      </c>
    </row>
    <row r="72" spans="2:12">
      <c r="C72" s="93">
        <f>IF(OR(C61=0,J70=1),0,IF(NOT(J70=J71),"Incorrect","Correct"))</f>
        <v>0</v>
      </c>
      <c r="L72" t="s">
        <v>133</v>
      </c>
    </row>
    <row r="73" spans="2:12">
      <c r="C73" s="93"/>
      <c r="L73" t="s">
        <v>137</v>
      </c>
    </row>
    <row r="74" spans="2:12">
      <c r="B74" s="47" t="s">
        <v>129</v>
      </c>
      <c r="C74" s="47">
        <f>IF(OR(C61=0,NOT(J70=J71)),0,B74)</f>
        <v>0</v>
      </c>
    </row>
    <row r="75" spans="2:12">
      <c r="J75" s="113">
        <v>1</v>
      </c>
      <c r="L75" t="s">
        <v>134</v>
      </c>
    </row>
    <row r="76" spans="2:12">
      <c r="J76" s="47">
        <v>4</v>
      </c>
      <c r="L76" t="s">
        <v>135</v>
      </c>
    </row>
    <row r="77" spans="2:12">
      <c r="C77" s="93">
        <f>IF(OR(NOT(J70=J71),J75=1),0,IF(NOT(J75=J76),"Incorrect","Correct"))</f>
        <v>0</v>
      </c>
      <c r="L77" t="s">
        <v>136</v>
      </c>
    </row>
    <row r="78" spans="2:12">
      <c r="B78" s="47" t="s">
        <v>13</v>
      </c>
    </row>
    <row r="79" spans="2:12">
      <c r="B79" s="47" t="s">
        <v>138</v>
      </c>
      <c r="C79" s="47">
        <f>IF(OR(NOT(J70=J71),NOT(J75=J76)),0,B79)</f>
        <v>0</v>
      </c>
      <c r="L79" t="s">
        <v>139</v>
      </c>
    </row>
    <row r="80" spans="2:12">
      <c r="J80" s="113">
        <v>1</v>
      </c>
      <c r="L80" t="s">
        <v>140</v>
      </c>
    </row>
    <row r="81" spans="2:12">
      <c r="J81" s="47">
        <v>2</v>
      </c>
      <c r="L81" t="s">
        <v>141</v>
      </c>
    </row>
    <row r="82" spans="2:12">
      <c r="C82" s="93">
        <f>IF(OR(NOT(J75=J76),J80=1),0,IF(NOT(J80=J81),"Incorrect","Correct"))</f>
        <v>0</v>
      </c>
    </row>
    <row r="84" spans="2:12">
      <c r="B84" s="94" t="s">
        <v>103</v>
      </c>
      <c r="C84" s="228">
        <f>IF(OR(NOT(J75=J76),NOT(J80=J81)),0,B84)</f>
        <v>0</v>
      </c>
      <c r="D84" s="228"/>
      <c r="E84" s="228"/>
      <c r="F84" s="228"/>
      <c r="G84" s="228"/>
      <c r="H84" s="228"/>
      <c r="I84" s="228"/>
    </row>
    <row r="85" spans="2:12">
      <c r="C85" s="228"/>
      <c r="D85" s="228"/>
      <c r="E85" s="228"/>
      <c r="F85" s="228"/>
      <c r="G85" s="228"/>
      <c r="H85" s="228"/>
      <c r="I85" s="228"/>
    </row>
    <row r="86" spans="2:12">
      <c r="C86" s="228"/>
      <c r="D86" s="228"/>
      <c r="E86" s="228"/>
      <c r="F86" s="228"/>
      <c r="G86" s="228"/>
      <c r="H86" s="228"/>
      <c r="I86" s="228"/>
    </row>
    <row r="87" spans="2:12">
      <c r="C87" s="228"/>
      <c r="D87" s="228"/>
      <c r="E87" s="228"/>
      <c r="F87" s="228"/>
      <c r="G87" s="228"/>
      <c r="H87" s="228"/>
      <c r="I87" s="228"/>
    </row>
    <row r="88" spans="2:12">
      <c r="C88" s="228"/>
      <c r="D88" s="228"/>
      <c r="E88" s="228"/>
      <c r="F88" s="228"/>
      <c r="G88" s="228"/>
      <c r="H88" s="228"/>
      <c r="I88" s="228"/>
    </row>
    <row r="90" spans="2:12" ht="16">
      <c r="B90" s="47" t="s">
        <v>104</v>
      </c>
      <c r="C90" s="228">
        <f>IF(C84=0,0,B90)</f>
        <v>0</v>
      </c>
      <c r="D90" s="228"/>
      <c r="E90" s="228"/>
      <c r="F90" s="228"/>
      <c r="G90" s="228"/>
      <c r="H90" s="228"/>
      <c r="I90" s="228"/>
      <c r="K90" s="88">
        <f>IF(C90=0,0,"Very Good! Go to Next Sheet.")</f>
        <v>0</v>
      </c>
    </row>
    <row r="91" spans="2:12">
      <c r="C91" s="228"/>
      <c r="D91" s="228"/>
      <c r="E91" s="228"/>
      <c r="F91" s="228"/>
      <c r="G91" s="228"/>
      <c r="H91" s="228"/>
      <c r="I91" s="228"/>
    </row>
    <row r="92" spans="2:12">
      <c r="C92" s="228"/>
      <c r="D92" s="228"/>
      <c r="E92" s="228"/>
      <c r="F92" s="228"/>
      <c r="G92" s="228"/>
      <c r="H92" s="228"/>
      <c r="I92" s="228"/>
    </row>
  </sheetData>
  <mergeCells count="6">
    <mergeCell ref="C84:I88"/>
    <mergeCell ref="C90:I92"/>
    <mergeCell ref="C18:J24"/>
    <mergeCell ref="C54:I58"/>
    <mergeCell ref="C65:I67"/>
    <mergeCell ref="C61:I63"/>
  </mergeCells>
  <phoneticPr fontId="8" type="noConversion"/>
  <conditionalFormatting sqref="C61:I63">
    <cfRule type="cellIs" dxfId="19" priority="1" stopIfTrue="1" operator="equal">
      <formula>0</formula>
    </cfRule>
    <cfRule type="expression" dxfId="18" priority="2" stopIfTrue="1">
      <formula>IF(NOT(J59=J60),TRUE,FALSE)</formula>
    </cfRule>
  </conditionalFormatting>
  <conditionalFormatting sqref="C38 C42 C46 C53 C77 C72:C73 C82">
    <cfRule type="cellIs" dxfId="17" priority="3" stopIfTrue="1" operator="equal">
      <formula>"Correct"</formula>
    </cfRule>
  </conditionalFormatting>
  <conditionalFormatting sqref="C54:I58 C65:I67 C69 C74 C79 C84:I88 C90:I92 K90">
    <cfRule type="cellIs" dxfId="16" priority="4" stopIfTrue="1" operator="equal">
      <formula>0</formula>
    </cfRule>
  </conditionalFormatting>
  <pageMargins left="0.75" right="0.75" top="1" bottom="1" header="0.5" footer="0.5"/>
  <pageSetup orientation="portrait" horizontalDpi="200" verticalDpi="2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2225" r:id="rId3" name="Spinner 1">
              <controlPr defaultSize="0" autoPict="0">
                <anchor moveWithCells="1" sizeWithCells="1">
                  <from>
                    <xdr:col>11</xdr:col>
                    <xdr:colOff>266700</xdr:colOff>
                    <xdr:row>6</xdr:row>
                    <xdr:rowOff>88900</xdr:rowOff>
                  </from>
                  <to>
                    <xdr:col>12</xdr:col>
                    <xdr:colOff>114300</xdr:colOff>
                    <xdr:row>9</xdr:row>
                    <xdr:rowOff>0</xdr:rowOff>
                  </to>
                </anchor>
              </controlPr>
            </control>
          </mc:Choice>
          <mc:Fallback/>
        </mc:AlternateContent>
        <mc:AlternateContent xmlns:mc="http://schemas.openxmlformats.org/markup-compatibility/2006">
          <mc:Choice Requires="x14">
            <control shapeId="52227" r:id="rId4" name="Drop Down 3">
              <controlPr defaultSize="0" autoLine="0" autoPict="0">
                <anchor moveWithCells="1">
                  <from>
                    <xdr:col>2</xdr:col>
                    <xdr:colOff>12700</xdr:colOff>
                    <xdr:row>35</xdr:row>
                    <xdr:rowOff>25400</xdr:rowOff>
                  </from>
                  <to>
                    <xdr:col>6</xdr:col>
                    <xdr:colOff>368300</xdr:colOff>
                    <xdr:row>36</xdr:row>
                    <xdr:rowOff>50800</xdr:rowOff>
                  </to>
                </anchor>
              </controlPr>
            </control>
          </mc:Choice>
          <mc:Fallback/>
        </mc:AlternateContent>
        <mc:AlternateContent xmlns:mc="http://schemas.openxmlformats.org/markup-compatibility/2006">
          <mc:Choice Requires="x14">
            <control shapeId="52228" r:id="rId5" name="Drop Down 4">
              <controlPr defaultSize="0" autoLine="0" autoPict="0">
                <anchor moveWithCells="1">
                  <from>
                    <xdr:col>2</xdr:col>
                    <xdr:colOff>25400</xdr:colOff>
                    <xdr:row>39</xdr:row>
                    <xdr:rowOff>12700</xdr:rowOff>
                  </from>
                  <to>
                    <xdr:col>8</xdr:col>
                    <xdr:colOff>406400</xdr:colOff>
                    <xdr:row>40</xdr:row>
                    <xdr:rowOff>38100</xdr:rowOff>
                  </to>
                </anchor>
              </controlPr>
            </control>
          </mc:Choice>
          <mc:Fallback/>
        </mc:AlternateContent>
        <mc:AlternateContent xmlns:mc="http://schemas.openxmlformats.org/markup-compatibility/2006">
          <mc:Choice Requires="x14">
            <control shapeId="52229" r:id="rId6" name="Drop Down 5">
              <controlPr defaultSize="0" autoLine="0" autoPict="0">
                <anchor moveWithCells="1">
                  <from>
                    <xdr:col>2</xdr:col>
                    <xdr:colOff>25400</xdr:colOff>
                    <xdr:row>43</xdr:row>
                    <xdr:rowOff>12700</xdr:rowOff>
                  </from>
                  <to>
                    <xdr:col>8</xdr:col>
                    <xdr:colOff>406400</xdr:colOff>
                    <xdr:row>44</xdr:row>
                    <xdr:rowOff>38100</xdr:rowOff>
                  </to>
                </anchor>
              </controlPr>
            </control>
          </mc:Choice>
          <mc:Fallback/>
        </mc:AlternateContent>
        <mc:AlternateContent xmlns:mc="http://schemas.openxmlformats.org/markup-compatibility/2006">
          <mc:Choice Requires="x14">
            <control shapeId="52230" r:id="rId7" name="Drop Down 6">
              <controlPr defaultSize="0" autoLine="0" autoPict="0">
                <anchor moveWithCells="1">
                  <from>
                    <xdr:col>2</xdr:col>
                    <xdr:colOff>12700</xdr:colOff>
                    <xdr:row>50</xdr:row>
                    <xdr:rowOff>12700</xdr:rowOff>
                  </from>
                  <to>
                    <xdr:col>4</xdr:col>
                    <xdr:colOff>38100</xdr:colOff>
                    <xdr:row>51</xdr:row>
                    <xdr:rowOff>38100</xdr:rowOff>
                  </to>
                </anchor>
              </controlPr>
            </control>
          </mc:Choice>
          <mc:Fallback/>
        </mc:AlternateContent>
        <mc:AlternateContent xmlns:mc="http://schemas.openxmlformats.org/markup-compatibility/2006">
          <mc:Choice Requires="x14">
            <control shapeId="52231" r:id="rId8" name="Drop Down 7">
              <controlPr defaultSize="0" autoLine="0" autoPict="0">
                <anchor moveWithCells="1">
                  <from>
                    <xdr:col>2</xdr:col>
                    <xdr:colOff>12700</xdr:colOff>
                    <xdr:row>58</xdr:row>
                    <xdr:rowOff>12700</xdr:rowOff>
                  </from>
                  <to>
                    <xdr:col>4</xdr:col>
                    <xdr:colOff>38100</xdr:colOff>
                    <xdr:row>59</xdr:row>
                    <xdr:rowOff>38100</xdr:rowOff>
                  </to>
                </anchor>
              </controlPr>
            </control>
          </mc:Choice>
          <mc:Fallback/>
        </mc:AlternateContent>
        <mc:AlternateContent xmlns:mc="http://schemas.openxmlformats.org/markup-compatibility/2006">
          <mc:Choice Requires="x14">
            <control shapeId="52232" r:id="rId9" name="Drop Down 8">
              <controlPr defaultSize="0" autoLine="0" autoPict="0">
                <anchor moveWithCells="1">
                  <from>
                    <xdr:col>2</xdr:col>
                    <xdr:colOff>12700</xdr:colOff>
                    <xdr:row>69</xdr:row>
                    <xdr:rowOff>12700</xdr:rowOff>
                  </from>
                  <to>
                    <xdr:col>9</xdr:col>
                    <xdr:colOff>76200</xdr:colOff>
                    <xdr:row>70</xdr:row>
                    <xdr:rowOff>38100</xdr:rowOff>
                  </to>
                </anchor>
              </controlPr>
            </control>
          </mc:Choice>
          <mc:Fallback/>
        </mc:AlternateContent>
        <mc:AlternateContent xmlns:mc="http://schemas.openxmlformats.org/markup-compatibility/2006">
          <mc:Choice Requires="x14">
            <control shapeId="52233" r:id="rId10" name="Drop Down 9">
              <controlPr defaultSize="0" autoLine="0" autoPict="0">
                <anchor moveWithCells="1">
                  <from>
                    <xdr:col>2</xdr:col>
                    <xdr:colOff>12700</xdr:colOff>
                    <xdr:row>74</xdr:row>
                    <xdr:rowOff>12700</xdr:rowOff>
                  </from>
                  <to>
                    <xdr:col>7</xdr:col>
                    <xdr:colOff>203200</xdr:colOff>
                    <xdr:row>75</xdr:row>
                    <xdr:rowOff>50800</xdr:rowOff>
                  </to>
                </anchor>
              </controlPr>
            </control>
          </mc:Choice>
          <mc:Fallback/>
        </mc:AlternateContent>
        <mc:AlternateContent xmlns:mc="http://schemas.openxmlformats.org/markup-compatibility/2006">
          <mc:Choice Requires="x14">
            <control shapeId="52234" r:id="rId11" name="Drop Down 10">
              <controlPr defaultSize="0" autoLine="0" autoPict="0">
                <anchor moveWithCells="1">
                  <from>
                    <xdr:col>2</xdr:col>
                    <xdr:colOff>12700</xdr:colOff>
                    <xdr:row>79</xdr:row>
                    <xdr:rowOff>12700</xdr:rowOff>
                  </from>
                  <to>
                    <xdr:col>7</xdr:col>
                    <xdr:colOff>317500</xdr:colOff>
                    <xdr:row>80</xdr:row>
                    <xdr:rowOff>50800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W110"/>
  <sheetViews>
    <sheetView workbookViewId="0"/>
  </sheetViews>
  <sheetFormatPr baseColWidth="10" defaultColWidth="8.83203125" defaultRowHeight="12" x14ac:dyDescent="0"/>
  <sheetData>
    <row r="1" spans="1:23" ht="12.75" customHeight="1">
      <c r="B1" s="199" t="s">
        <v>103</v>
      </c>
      <c r="C1" s="199"/>
      <c r="D1" s="199"/>
      <c r="E1" s="199"/>
      <c r="F1" s="199"/>
      <c r="G1" s="199"/>
      <c r="H1" s="199"/>
      <c r="J1" t="s">
        <v>84</v>
      </c>
      <c r="L1" t="s">
        <v>63</v>
      </c>
      <c r="O1">
        <v>1</v>
      </c>
      <c r="Q1" t="str">
        <f>IF($O$1=1,"Original Population",IF($O$1=2,"Two-Fold Increase in Population",IF($O$1=3,"Five-fold Increase in Population","Ten-fold Increase in Population")))</f>
        <v>Original Population</v>
      </c>
      <c r="U1">
        <f>Q110</f>
        <v>5</v>
      </c>
      <c r="V1">
        <v>0</v>
      </c>
    </row>
    <row r="2" spans="1:23">
      <c r="B2" s="199"/>
      <c r="C2" s="199"/>
      <c r="D2" s="199"/>
      <c r="E2" s="199"/>
      <c r="F2" s="199"/>
      <c r="G2" s="199"/>
      <c r="H2" s="199"/>
      <c r="J2">
        <v>14.5</v>
      </c>
      <c r="K2">
        <f>J3-J2</f>
        <v>16.5</v>
      </c>
      <c r="L2">
        <v>22.3</v>
      </c>
      <c r="M2">
        <f>L3-L2</f>
        <v>16.400000000000002</v>
      </c>
      <c r="U2">
        <f>Q110</f>
        <v>5</v>
      </c>
      <c r="V2">
        <f>S110</f>
        <v>89</v>
      </c>
    </row>
    <row r="3" spans="1:23">
      <c r="B3" s="199"/>
      <c r="C3" s="199"/>
      <c r="D3" s="199"/>
      <c r="E3" s="199"/>
      <c r="F3" s="199"/>
      <c r="G3" s="199"/>
      <c r="H3" s="199"/>
      <c r="J3">
        <v>31</v>
      </c>
      <c r="K3">
        <f t="shared" ref="K3:M5" si="0">J4-J3</f>
        <v>17.899999999999999</v>
      </c>
      <c r="L3">
        <v>38.700000000000003</v>
      </c>
      <c r="M3">
        <f t="shared" si="0"/>
        <v>21.4</v>
      </c>
    </row>
    <row r="4" spans="1:23">
      <c r="B4" s="199"/>
      <c r="C4" s="199"/>
      <c r="D4" s="199"/>
      <c r="E4" s="199"/>
      <c r="F4" s="199"/>
      <c r="G4" s="199"/>
      <c r="H4" s="199"/>
      <c r="J4">
        <v>48.9</v>
      </c>
      <c r="K4">
        <f t="shared" si="0"/>
        <v>16.300000000000004</v>
      </c>
      <c r="L4">
        <v>60.1</v>
      </c>
      <c r="M4">
        <f t="shared" si="0"/>
        <v>10.399999999999999</v>
      </c>
    </row>
    <row r="5" spans="1:23">
      <c r="B5" s="199"/>
      <c r="C5" s="199"/>
      <c r="D5" s="199"/>
      <c r="E5" s="199"/>
      <c r="F5" s="199"/>
      <c r="G5" s="199"/>
      <c r="H5" s="199"/>
      <c r="J5">
        <v>65.2</v>
      </c>
      <c r="K5">
        <f t="shared" si="0"/>
        <v>16.899999999999991</v>
      </c>
      <c r="L5">
        <v>70.5</v>
      </c>
      <c r="M5">
        <f t="shared" si="0"/>
        <v>18.5</v>
      </c>
      <c r="U5" t="s">
        <v>13</v>
      </c>
    </row>
    <row r="6" spans="1:23">
      <c r="J6">
        <v>82.1</v>
      </c>
      <c r="L6">
        <v>89</v>
      </c>
    </row>
    <row r="7" spans="1:23">
      <c r="B7" s="199" t="s">
        <v>104</v>
      </c>
      <c r="C7" s="199"/>
      <c r="D7" s="199"/>
      <c r="E7" s="199"/>
      <c r="F7" s="199"/>
      <c r="G7" s="199"/>
      <c r="H7" s="199"/>
    </row>
    <row r="8" spans="1:23">
      <c r="B8" s="199"/>
      <c r="C8" s="199"/>
      <c r="D8" s="199"/>
      <c r="E8" s="199"/>
      <c r="F8" s="199"/>
      <c r="G8" s="199"/>
      <c r="H8" s="199"/>
    </row>
    <row r="9" spans="1:23">
      <c r="B9" s="199"/>
      <c r="C9" s="199"/>
      <c r="D9" s="199"/>
      <c r="E9" s="199"/>
      <c r="F9" s="199"/>
      <c r="G9" s="199"/>
      <c r="H9" s="199"/>
    </row>
    <row r="11" spans="1:23">
      <c r="A11">
        <v>0</v>
      </c>
      <c r="B11">
        <f>J6</f>
        <v>82.1</v>
      </c>
      <c r="C11">
        <f>L2</f>
        <v>22.3</v>
      </c>
      <c r="E11">
        <v>0</v>
      </c>
      <c r="F11">
        <f>B11</f>
        <v>82.1</v>
      </c>
      <c r="G11">
        <f>C11</f>
        <v>22.3</v>
      </c>
      <c r="I11">
        <v>0</v>
      </c>
      <c r="J11">
        <f>(5*B$12+0*B$13)/5</f>
        <v>82.1</v>
      </c>
      <c r="K11">
        <f>(5*C$12+0*C$13)/5</f>
        <v>22.3</v>
      </c>
      <c r="M11">
        <v>0</v>
      </c>
      <c r="N11">
        <f>(10*B$12+0*B$13)/10</f>
        <v>82.1</v>
      </c>
      <c r="O11">
        <f>(10*C$12+0*C$13)/10</f>
        <v>22.3</v>
      </c>
      <c r="Q11">
        <f t="shared" ref="Q11:S12" si="1">IF($O$1=1,A11,IF($O$1=2,E11,IF($O$1=3,I11,M11)))</f>
        <v>0</v>
      </c>
      <c r="R11">
        <f t="shared" si="1"/>
        <v>82.1</v>
      </c>
      <c r="S11">
        <f t="shared" si="1"/>
        <v>22.3</v>
      </c>
      <c r="U11">
        <v>0</v>
      </c>
      <c r="V11">
        <f>B11</f>
        <v>82.1</v>
      </c>
      <c r="W11">
        <f t="shared" ref="W11:W20" si="2">C11</f>
        <v>22.3</v>
      </c>
    </row>
    <row r="12" spans="1:23">
      <c r="A12">
        <v>1</v>
      </c>
      <c r="B12">
        <f>J6</f>
        <v>82.1</v>
      </c>
      <c r="C12">
        <f>L2</f>
        <v>22.3</v>
      </c>
      <c r="E12">
        <v>1</v>
      </c>
      <c r="F12">
        <f>B12</f>
        <v>82.1</v>
      </c>
      <c r="G12">
        <f>C11</f>
        <v>22.3</v>
      </c>
      <c r="I12">
        <v>1</v>
      </c>
      <c r="J12">
        <f>(5*B$12+0*B$13)/5</f>
        <v>82.1</v>
      </c>
      <c r="K12">
        <f>(5*C$12+0*C$13)/5</f>
        <v>22.3</v>
      </c>
      <c r="M12">
        <v>1</v>
      </c>
      <c r="N12">
        <f>(10*B$12+0*B$13)/10</f>
        <v>82.1</v>
      </c>
      <c r="O12">
        <f>(10*C$12+0*C$13)/10</f>
        <v>22.3</v>
      </c>
      <c r="Q12">
        <f t="shared" si="1"/>
        <v>1</v>
      </c>
      <c r="R12">
        <f t="shared" si="1"/>
        <v>82.1</v>
      </c>
      <c r="S12">
        <f t="shared" si="1"/>
        <v>22.3</v>
      </c>
      <c r="U12">
        <v>1</v>
      </c>
      <c r="V12">
        <f t="shared" ref="V12:V20" si="3">B12</f>
        <v>82.1</v>
      </c>
      <c r="W12">
        <f t="shared" si="2"/>
        <v>22.3</v>
      </c>
    </row>
    <row r="13" spans="1:23">
      <c r="A13">
        <f>A12</f>
        <v>1</v>
      </c>
      <c r="B13">
        <f>J5</f>
        <v>65.2</v>
      </c>
      <c r="C13">
        <f>L3</f>
        <v>38.700000000000003</v>
      </c>
      <c r="E13">
        <f>E12</f>
        <v>1</v>
      </c>
      <c r="F13">
        <f>(B12+B13)/2</f>
        <v>73.650000000000006</v>
      </c>
      <c r="G13">
        <f>(C12+C13)/2</f>
        <v>30.5</v>
      </c>
      <c r="I13">
        <f>I12</f>
        <v>1</v>
      </c>
      <c r="J13">
        <f>(4*B$12+1*B$13)/5</f>
        <v>78.72</v>
      </c>
      <c r="K13">
        <f>(4*C$12+1*C$13)/5</f>
        <v>25.580000000000002</v>
      </c>
      <c r="M13">
        <f>M12</f>
        <v>1</v>
      </c>
      <c r="N13">
        <f>(9*B$12+1*B$13)/10</f>
        <v>80.41</v>
      </c>
      <c r="O13">
        <f>(9*C$12+1*C$13)/10</f>
        <v>23.940000000000005</v>
      </c>
      <c r="Q13">
        <f t="shared" ref="Q13:Q76" si="4">IF($O$1=1,A13,IF($O$1=2,E13,IF($O$1=3,I13,M13)))</f>
        <v>1</v>
      </c>
      <c r="R13">
        <f t="shared" ref="R13:R76" si="5">IF($O$1=1,B13,IF($O$1=2,F13,IF($O$1=3,J13,N13)))</f>
        <v>65.2</v>
      </c>
      <c r="S13">
        <f t="shared" ref="S13:S76" si="6">IF($O$1=1,C13,IF($O$1=2,G13,IF($O$1=3,K13,O13)))</f>
        <v>38.700000000000003</v>
      </c>
      <c r="U13">
        <f>IF($O$1=1,1,IF($O$1=2,2,IF($O$1=3,5,10)))</f>
        <v>1</v>
      </c>
      <c r="V13">
        <f t="shared" si="3"/>
        <v>65.2</v>
      </c>
      <c r="W13">
        <f t="shared" si="2"/>
        <v>38.700000000000003</v>
      </c>
    </row>
    <row r="14" spans="1:23">
      <c r="A14">
        <f>A12+1</f>
        <v>2</v>
      </c>
      <c r="B14">
        <f>J5</f>
        <v>65.2</v>
      </c>
      <c r="C14">
        <f>L3</f>
        <v>38.700000000000003</v>
      </c>
      <c r="E14">
        <f>E12+1</f>
        <v>2</v>
      </c>
      <c r="F14">
        <f>F13</f>
        <v>73.650000000000006</v>
      </c>
      <c r="G14">
        <f>G13</f>
        <v>30.5</v>
      </c>
      <c r="I14">
        <f>I12+1</f>
        <v>2</v>
      </c>
      <c r="J14">
        <f>(4*B$12+1*B$13)/5</f>
        <v>78.72</v>
      </c>
      <c r="K14">
        <f>(4*C$12+1*C$13)/5</f>
        <v>25.580000000000002</v>
      </c>
      <c r="M14">
        <f>M12+1</f>
        <v>2</v>
      </c>
      <c r="N14">
        <f>(9*B$12+1*B$13)/10</f>
        <v>80.41</v>
      </c>
      <c r="O14">
        <f>(9*C$12+1*C$13)/10</f>
        <v>23.940000000000005</v>
      </c>
      <c r="Q14">
        <f t="shared" si="4"/>
        <v>2</v>
      </c>
      <c r="R14">
        <f t="shared" si="5"/>
        <v>65.2</v>
      </c>
      <c r="S14">
        <f t="shared" si="6"/>
        <v>38.700000000000003</v>
      </c>
      <c r="U14">
        <f>U13+1</f>
        <v>2</v>
      </c>
      <c r="V14">
        <f t="shared" si="3"/>
        <v>65.2</v>
      </c>
      <c r="W14">
        <f t="shared" si="2"/>
        <v>38.700000000000003</v>
      </c>
    </row>
    <row r="15" spans="1:23">
      <c r="A15">
        <f>A14</f>
        <v>2</v>
      </c>
      <c r="B15">
        <f>J4</f>
        <v>48.9</v>
      </c>
      <c r="C15">
        <f>L4</f>
        <v>60.1</v>
      </c>
      <c r="E15">
        <f>E14</f>
        <v>2</v>
      </c>
      <c r="F15">
        <f>B13</f>
        <v>65.2</v>
      </c>
      <c r="G15">
        <f>C13</f>
        <v>38.700000000000003</v>
      </c>
      <c r="I15">
        <f>I14</f>
        <v>2</v>
      </c>
      <c r="J15">
        <f>(3*B$12+2*B$13)/5</f>
        <v>75.34</v>
      </c>
      <c r="K15">
        <f>(3*C$12+2*C$13)/5</f>
        <v>28.860000000000003</v>
      </c>
      <c r="M15">
        <f>M14</f>
        <v>2</v>
      </c>
      <c r="N15">
        <f>(8*B$12+2*B$13)/10</f>
        <v>78.72</v>
      </c>
      <c r="O15">
        <f>(8*C$12+2*C$13)/10</f>
        <v>25.580000000000002</v>
      </c>
      <c r="Q15">
        <f t="shared" si="4"/>
        <v>2</v>
      </c>
      <c r="R15">
        <f t="shared" si="5"/>
        <v>48.9</v>
      </c>
      <c r="S15">
        <f t="shared" si="6"/>
        <v>60.1</v>
      </c>
      <c r="U15">
        <f>IF($O$1=1,2,IF($O$1=2,4,IF($O$1=3,10,20)))</f>
        <v>2</v>
      </c>
      <c r="V15">
        <f t="shared" si="3"/>
        <v>48.9</v>
      </c>
      <c r="W15">
        <f t="shared" si="2"/>
        <v>60.1</v>
      </c>
    </row>
    <row r="16" spans="1:23">
      <c r="A16">
        <f>A14+1</f>
        <v>3</v>
      </c>
      <c r="B16">
        <f>J4</f>
        <v>48.9</v>
      </c>
      <c r="C16">
        <f>L4</f>
        <v>60.1</v>
      </c>
      <c r="E16">
        <f>E14+1</f>
        <v>3</v>
      </c>
      <c r="F16">
        <f>F15</f>
        <v>65.2</v>
      </c>
      <c r="G16">
        <f>C13</f>
        <v>38.700000000000003</v>
      </c>
      <c r="I16">
        <f>I14+1</f>
        <v>3</v>
      </c>
      <c r="J16">
        <f>(3*B$12+2*B$13)/5</f>
        <v>75.34</v>
      </c>
      <c r="K16">
        <f>(3*C$12+2*C$13)/5</f>
        <v>28.860000000000003</v>
      </c>
      <c r="M16">
        <f>M14+1</f>
        <v>3</v>
      </c>
      <c r="N16">
        <f>(8*B$12+2*B$13)/10</f>
        <v>78.72</v>
      </c>
      <c r="O16">
        <f>(8*C$12+2*C$13)/10</f>
        <v>25.580000000000002</v>
      </c>
      <c r="Q16">
        <f t="shared" si="4"/>
        <v>3</v>
      </c>
      <c r="R16">
        <f t="shared" si="5"/>
        <v>48.9</v>
      </c>
      <c r="S16">
        <f t="shared" si="6"/>
        <v>60.1</v>
      </c>
      <c r="U16">
        <f>U15+1</f>
        <v>3</v>
      </c>
      <c r="V16">
        <f t="shared" si="3"/>
        <v>48.9</v>
      </c>
      <c r="W16">
        <f t="shared" si="2"/>
        <v>60.1</v>
      </c>
    </row>
    <row r="17" spans="1:23">
      <c r="A17">
        <f>A16</f>
        <v>3</v>
      </c>
      <c r="B17">
        <f>J3</f>
        <v>31</v>
      </c>
      <c r="C17">
        <f>L5</f>
        <v>70.5</v>
      </c>
      <c r="E17">
        <f>E16</f>
        <v>3</v>
      </c>
      <c r="F17">
        <f>(B14+B15)/2</f>
        <v>57.05</v>
      </c>
      <c r="G17">
        <f>(C14+C15)/2</f>
        <v>49.400000000000006</v>
      </c>
      <c r="I17">
        <f>I16</f>
        <v>3</v>
      </c>
      <c r="J17">
        <f>(2*B$12+3*B$13)/5</f>
        <v>71.960000000000008</v>
      </c>
      <c r="K17">
        <f>(2*C$12+3*C$13)/5</f>
        <v>32.14</v>
      </c>
      <c r="M17">
        <f>M16</f>
        <v>3</v>
      </c>
      <c r="N17">
        <f>(7*B$12+3*B$13)/10</f>
        <v>77.03</v>
      </c>
      <c r="O17">
        <f>(7*C$12+3*C$13)/10</f>
        <v>27.22</v>
      </c>
      <c r="Q17">
        <f t="shared" si="4"/>
        <v>3</v>
      </c>
      <c r="R17">
        <f t="shared" si="5"/>
        <v>31</v>
      </c>
      <c r="S17">
        <f t="shared" si="6"/>
        <v>70.5</v>
      </c>
      <c r="U17">
        <f>IF($O$1=1,3,IF($O$1=2,6,IF($O$1=3,15,30)))</f>
        <v>3</v>
      </c>
      <c r="V17">
        <f t="shared" si="3"/>
        <v>31</v>
      </c>
      <c r="W17">
        <f t="shared" si="2"/>
        <v>70.5</v>
      </c>
    </row>
    <row r="18" spans="1:23">
      <c r="A18">
        <f>A16+1</f>
        <v>4</v>
      </c>
      <c r="B18">
        <f>J3</f>
        <v>31</v>
      </c>
      <c r="C18">
        <f>L5</f>
        <v>70.5</v>
      </c>
      <c r="E18">
        <f>E16+1</f>
        <v>4</v>
      </c>
      <c r="F18">
        <f>F17</f>
        <v>57.05</v>
      </c>
      <c r="G18">
        <f>G17</f>
        <v>49.400000000000006</v>
      </c>
      <c r="I18">
        <f>I16+1</f>
        <v>4</v>
      </c>
      <c r="J18">
        <f>(2*B$12+3*B$13)/5</f>
        <v>71.960000000000008</v>
      </c>
      <c r="K18">
        <f>(2*C$12+3*C$13)/5</f>
        <v>32.14</v>
      </c>
      <c r="M18">
        <f>M16+1</f>
        <v>4</v>
      </c>
      <c r="N18">
        <f>(7*B$12+3*B$13)/10</f>
        <v>77.03</v>
      </c>
      <c r="O18">
        <f>(7*C$12+3*C$13)/10</f>
        <v>27.22</v>
      </c>
      <c r="Q18">
        <f t="shared" si="4"/>
        <v>4</v>
      </c>
      <c r="R18">
        <f t="shared" si="5"/>
        <v>31</v>
      </c>
      <c r="S18">
        <f t="shared" si="6"/>
        <v>70.5</v>
      </c>
      <c r="U18">
        <f>U17+1</f>
        <v>4</v>
      </c>
      <c r="V18">
        <f t="shared" si="3"/>
        <v>31</v>
      </c>
      <c r="W18">
        <f t="shared" si="2"/>
        <v>70.5</v>
      </c>
    </row>
    <row r="19" spans="1:23">
      <c r="A19">
        <f>A18</f>
        <v>4</v>
      </c>
      <c r="B19">
        <f>J2</f>
        <v>14.5</v>
      </c>
      <c r="C19">
        <f>L6</f>
        <v>89</v>
      </c>
      <c r="E19">
        <f>E18</f>
        <v>4</v>
      </c>
      <c r="F19">
        <f>B15</f>
        <v>48.9</v>
      </c>
      <c r="G19">
        <f>C15</f>
        <v>60.1</v>
      </c>
      <c r="I19">
        <f>I18</f>
        <v>4</v>
      </c>
      <c r="J19">
        <f>(1*B$12+4*B$13)/5</f>
        <v>68.58</v>
      </c>
      <c r="K19">
        <f>(1*C$12+4*C$13)/5</f>
        <v>35.42</v>
      </c>
      <c r="M19">
        <f>M18</f>
        <v>4</v>
      </c>
      <c r="N19">
        <f>(6*B$12+4*B$13)/10</f>
        <v>75.34</v>
      </c>
      <c r="O19">
        <f>(6*C$12+4*C$13)/10</f>
        <v>28.860000000000003</v>
      </c>
      <c r="Q19">
        <f t="shared" si="4"/>
        <v>4</v>
      </c>
      <c r="R19">
        <f t="shared" si="5"/>
        <v>14.5</v>
      </c>
      <c r="S19">
        <f t="shared" si="6"/>
        <v>89</v>
      </c>
      <c r="U19">
        <f>IF($O$1=1,4,IF($O$1=2,8,IF($O$1=3,20,40)))</f>
        <v>4</v>
      </c>
      <c r="V19">
        <f t="shared" si="3"/>
        <v>14.5</v>
      </c>
      <c r="W19">
        <f t="shared" si="2"/>
        <v>89</v>
      </c>
    </row>
    <row r="20" spans="1:23">
      <c r="A20">
        <f>A18+1</f>
        <v>5</v>
      </c>
      <c r="B20">
        <f>J2</f>
        <v>14.5</v>
      </c>
      <c r="C20">
        <f>L6</f>
        <v>89</v>
      </c>
      <c r="E20">
        <f>E18+1</f>
        <v>5</v>
      </c>
      <c r="F20">
        <f>F19</f>
        <v>48.9</v>
      </c>
      <c r="G20">
        <f>C15</f>
        <v>60.1</v>
      </c>
      <c r="I20">
        <f>I18+1</f>
        <v>5</v>
      </c>
      <c r="J20">
        <f>(1*B$12+4*B$13)/5</f>
        <v>68.58</v>
      </c>
      <c r="K20">
        <f>(1*C$12+4*C$13)/5</f>
        <v>35.42</v>
      </c>
      <c r="M20">
        <f>M18+1</f>
        <v>5</v>
      </c>
      <c r="N20">
        <f>(6*B$12+4*B$13)/10</f>
        <v>75.34</v>
      </c>
      <c r="O20">
        <f>(6*C$12+4*C$13)/10</f>
        <v>28.860000000000003</v>
      </c>
      <c r="Q20">
        <f t="shared" si="4"/>
        <v>5</v>
      </c>
      <c r="R20">
        <f t="shared" si="5"/>
        <v>14.5</v>
      </c>
      <c r="S20">
        <f t="shared" si="6"/>
        <v>89</v>
      </c>
      <c r="U20">
        <f>U19+1</f>
        <v>5</v>
      </c>
      <c r="V20">
        <f t="shared" si="3"/>
        <v>14.5</v>
      </c>
      <c r="W20">
        <f t="shared" si="2"/>
        <v>89</v>
      </c>
    </row>
    <row r="21" spans="1:23">
      <c r="A21">
        <f>A20</f>
        <v>5</v>
      </c>
      <c r="B21">
        <f>B20</f>
        <v>14.5</v>
      </c>
      <c r="C21">
        <f>C20</f>
        <v>89</v>
      </c>
      <c r="E21">
        <f>E20</f>
        <v>5</v>
      </c>
      <c r="F21">
        <f>(B16+B17)/2</f>
        <v>39.950000000000003</v>
      </c>
      <c r="G21">
        <f>(C16+C17)/2</f>
        <v>65.3</v>
      </c>
      <c r="I21">
        <f>I20</f>
        <v>5</v>
      </c>
      <c r="J21">
        <f>(5*B$14+0*B$15)/5</f>
        <v>65.2</v>
      </c>
      <c r="K21">
        <f>(5*C$14+0*C$15)/5</f>
        <v>38.700000000000003</v>
      </c>
      <c r="M21">
        <f>M20</f>
        <v>5</v>
      </c>
      <c r="N21">
        <f>(5*B$12+5*B$13)/10</f>
        <v>73.650000000000006</v>
      </c>
      <c r="O21">
        <f>(5*C$12+5*C$13)/10</f>
        <v>30.5</v>
      </c>
      <c r="Q21">
        <f t="shared" si="4"/>
        <v>5</v>
      </c>
      <c r="R21">
        <f t="shared" si="5"/>
        <v>14.5</v>
      </c>
      <c r="S21">
        <f t="shared" si="6"/>
        <v>89</v>
      </c>
    </row>
    <row r="22" spans="1:23">
      <c r="A22">
        <f t="shared" ref="A22:A30" si="7">A21</f>
        <v>5</v>
      </c>
      <c r="B22">
        <f t="shared" ref="B22:B30" si="8">B21</f>
        <v>14.5</v>
      </c>
      <c r="C22">
        <f t="shared" ref="C22:C30" si="9">C21</f>
        <v>89</v>
      </c>
      <c r="E22">
        <f>E20+1</f>
        <v>6</v>
      </c>
      <c r="F22">
        <f>F21</f>
        <v>39.950000000000003</v>
      </c>
      <c r="G22">
        <f>G21</f>
        <v>65.3</v>
      </c>
      <c r="I22">
        <f>I20+1</f>
        <v>6</v>
      </c>
      <c r="J22">
        <f>(5*B$14+0*B$15)/5</f>
        <v>65.2</v>
      </c>
      <c r="K22">
        <f>(5*C$14+0*C$15)/5</f>
        <v>38.700000000000003</v>
      </c>
      <c r="M22">
        <f>M20+1</f>
        <v>6</v>
      </c>
      <c r="N22">
        <f>(5*B$12+5*B$13)/10</f>
        <v>73.650000000000006</v>
      </c>
      <c r="O22">
        <f>(5*C$12+5*C$13)/10</f>
        <v>30.5</v>
      </c>
      <c r="Q22">
        <f t="shared" si="4"/>
        <v>5</v>
      </c>
      <c r="R22">
        <f t="shared" si="5"/>
        <v>14.5</v>
      </c>
      <c r="S22">
        <f t="shared" si="6"/>
        <v>89</v>
      </c>
    </row>
    <row r="23" spans="1:23">
      <c r="A23">
        <f t="shared" si="7"/>
        <v>5</v>
      </c>
      <c r="B23">
        <f t="shared" si="8"/>
        <v>14.5</v>
      </c>
      <c r="C23">
        <f t="shared" si="9"/>
        <v>89</v>
      </c>
      <c r="E23">
        <f>E22</f>
        <v>6</v>
      </c>
      <c r="F23">
        <f>B17</f>
        <v>31</v>
      </c>
      <c r="G23">
        <f>C17</f>
        <v>70.5</v>
      </c>
      <c r="I23">
        <f>I22</f>
        <v>6</v>
      </c>
      <c r="J23">
        <f>(4*B$14+1*B$15)/5</f>
        <v>61.94</v>
      </c>
      <c r="K23">
        <f>(4*C$14+1*C$15)/5</f>
        <v>42.980000000000004</v>
      </c>
      <c r="M23">
        <f>M22</f>
        <v>6</v>
      </c>
      <c r="N23">
        <f>(4*B$12+6*B$13)/10</f>
        <v>71.960000000000008</v>
      </c>
      <c r="O23">
        <f>(4*C$12+6*C$13)/10</f>
        <v>32.14</v>
      </c>
      <c r="Q23">
        <f t="shared" si="4"/>
        <v>5</v>
      </c>
      <c r="R23">
        <f t="shared" si="5"/>
        <v>14.5</v>
      </c>
      <c r="S23">
        <f t="shared" si="6"/>
        <v>89</v>
      </c>
    </row>
    <row r="24" spans="1:23">
      <c r="A24">
        <f t="shared" si="7"/>
        <v>5</v>
      </c>
      <c r="B24">
        <f t="shared" si="8"/>
        <v>14.5</v>
      </c>
      <c r="C24">
        <f t="shared" si="9"/>
        <v>89</v>
      </c>
      <c r="E24">
        <f>E22+1</f>
        <v>7</v>
      </c>
      <c r="F24">
        <f>F23</f>
        <v>31</v>
      </c>
      <c r="G24">
        <f>C17</f>
        <v>70.5</v>
      </c>
      <c r="I24">
        <f>I22+1</f>
        <v>7</v>
      </c>
      <c r="J24">
        <f>(4*B$14+1*B$15)/5</f>
        <v>61.94</v>
      </c>
      <c r="K24">
        <f>(4*C$14+1*C$15)/5</f>
        <v>42.980000000000004</v>
      </c>
      <c r="M24">
        <f>M22+1</f>
        <v>7</v>
      </c>
      <c r="N24">
        <f>(4*B$12+6*B$13)/10</f>
        <v>71.960000000000008</v>
      </c>
      <c r="O24">
        <f>(4*C$12+6*C$13)/10</f>
        <v>32.14</v>
      </c>
      <c r="Q24">
        <f t="shared" si="4"/>
        <v>5</v>
      </c>
      <c r="R24">
        <f t="shared" si="5"/>
        <v>14.5</v>
      </c>
      <c r="S24">
        <f t="shared" si="6"/>
        <v>89</v>
      </c>
    </row>
    <row r="25" spans="1:23">
      <c r="A25">
        <f t="shared" si="7"/>
        <v>5</v>
      </c>
      <c r="B25">
        <f t="shared" si="8"/>
        <v>14.5</v>
      </c>
      <c r="C25">
        <f t="shared" si="9"/>
        <v>89</v>
      </c>
      <c r="E25">
        <f>E24</f>
        <v>7</v>
      </c>
      <c r="F25">
        <f>(B18+B19)/2</f>
        <v>22.75</v>
      </c>
      <c r="G25">
        <f>(C18+C19)/2</f>
        <v>79.75</v>
      </c>
      <c r="I25">
        <f>I24</f>
        <v>7</v>
      </c>
      <c r="J25">
        <f>(3*B$14+2*B$15)/5</f>
        <v>58.680000000000007</v>
      </c>
      <c r="K25">
        <f>(3*C$14+2*C$15)/5</f>
        <v>47.260000000000005</v>
      </c>
      <c r="M25">
        <f>M24</f>
        <v>7</v>
      </c>
      <c r="N25">
        <f>(3*B$12+7*B$13)/10</f>
        <v>70.27000000000001</v>
      </c>
      <c r="O25">
        <f>(3*C$12+7*C$13)/10</f>
        <v>33.780000000000008</v>
      </c>
      <c r="Q25">
        <f t="shared" si="4"/>
        <v>5</v>
      </c>
      <c r="R25">
        <f t="shared" si="5"/>
        <v>14.5</v>
      </c>
      <c r="S25">
        <f t="shared" si="6"/>
        <v>89</v>
      </c>
    </row>
    <row r="26" spans="1:23">
      <c r="A26">
        <f t="shared" si="7"/>
        <v>5</v>
      </c>
      <c r="B26">
        <f t="shared" si="8"/>
        <v>14.5</v>
      </c>
      <c r="C26">
        <f t="shared" si="9"/>
        <v>89</v>
      </c>
      <c r="E26">
        <f>E24+1</f>
        <v>8</v>
      </c>
      <c r="F26">
        <f>F25</f>
        <v>22.75</v>
      </c>
      <c r="G26">
        <f>G25</f>
        <v>79.75</v>
      </c>
      <c r="I26">
        <f>I24+1</f>
        <v>8</v>
      </c>
      <c r="J26">
        <f>(3*B$14+2*B$15)/5</f>
        <v>58.680000000000007</v>
      </c>
      <c r="K26">
        <f>(3*C$14+2*C$15)/5</f>
        <v>47.260000000000005</v>
      </c>
      <c r="M26">
        <f>M24+1</f>
        <v>8</v>
      </c>
      <c r="N26">
        <f>(3*B$12+7*B$13)/10</f>
        <v>70.27000000000001</v>
      </c>
      <c r="O26">
        <f>(3*C$12+7*C$13)/10</f>
        <v>33.780000000000008</v>
      </c>
      <c r="Q26">
        <f t="shared" si="4"/>
        <v>5</v>
      </c>
      <c r="R26">
        <f t="shared" si="5"/>
        <v>14.5</v>
      </c>
      <c r="S26">
        <f t="shared" si="6"/>
        <v>89</v>
      </c>
    </row>
    <row r="27" spans="1:23">
      <c r="A27">
        <f t="shared" si="7"/>
        <v>5</v>
      </c>
      <c r="B27">
        <f t="shared" si="8"/>
        <v>14.5</v>
      </c>
      <c r="C27">
        <f t="shared" si="9"/>
        <v>89</v>
      </c>
      <c r="E27">
        <f>E26</f>
        <v>8</v>
      </c>
      <c r="F27">
        <f>B19</f>
        <v>14.5</v>
      </c>
      <c r="G27">
        <f>C19</f>
        <v>89</v>
      </c>
      <c r="I27">
        <f>I26</f>
        <v>8</v>
      </c>
      <c r="J27">
        <f>(2*B$14+3*B$15)/5</f>
        <v>55.42</v>
      </c>
      <c r="K27">
        <f>(2*C$14+3*C$15)/5</f>
        <v>51.540000000000006</v>
      </c>
      <c r="M27">
        <f>M26</f>
        <v>8</v>
      </c>
      <c r="N27">
        <f>(2*B$12+8*B$13)/10</f>
        <v>68.58</v>
      </c>
      <c r="O27">
        <f>(2*C$12+8*C$13)/10</f>
        <v>35.42</v>
      </c>
      <c r="Q27">
        <f t="shared" si="4"/>
        <v>5</v>
      </c>
      <c r="R27">
        <f t="shared" si="5"/>
        <v>14.5</v>
      </c>
      <c r="S27">
        <f t="shared" si="6"/>
        <v>89</v>
      </c>
    </row>
    <row r="28" spans="1:23">
      <c r="A28">
        <f t="shared" si="7"/>
        <v>5</v>
      </c>
      <c r="B28">
        <f t="shared" si="8"/>
        <v>14.5</v>
      </c>
      <c r="C28">
        <f t="shared" si="9"/>
        <v>89</v>
      </c>
      <c r="E28">
        <f>E26+1</f>
        <v>9</v>
      </c>
      <c r="F28">
        <f>F27</f>
        <v>14.5</v>
      </c>
      <c r="G28">
        <f>C19</f>
        <v>89</v>
      </c>
      <c r="I28">
        <f>I26+1</f>
        <v>9</v>
      </c>
      <c r="J28">
        <f>(2*B$14+3*B$15)/5</f>
        <v>55.42</v>
      </c>
      <c r="K28">
        <f>(2*C$14+3*C$15)/5</f>
        <v>51.540000000000006</v>
      </c>
      <c r="M28">
        <f>M26+1</f>
        <v>9</v>
      </c>
      <c r="N28">
        <f>(2*B$12+8*B$13)/10</f>
        <v>68.58</v>
      </c>
      <c r="O28">
        <f>(2*C$12+8*C$13)/10</f>
        <v>35.42</v>
      </c>
      <c r="Q28">
        <f t="shared" si="4"/>
        <v>5</v>
      </c>
      <c r="R28">
        <f t="shared" si="5"/>
        <v>14.5</v>
      </c>
      <c r="S28">
        <f t="shared" si="6"/>
        <v>89</v>
      </c>
    </row>
    <row r="29" spans="1:23">
      <c r="A29">
        <f t="shared" si="7"/>
        <v>5</v>
      </c>
      <c r="B29">
        <f t="shared" si="8"/>
        <v>14.5</v>
      </c>
      <c r="C29">
        <f t="shared" si="9"/>
        <v>89</v>
      </c>
      <c r="E29">
        <f>E28</f>
        <v>9</v>
      </c>
      <c r="F29">
        <f>(B20+10)/2</f>
        <v>12.25</v>
      </c>
      <c r="G29">
        <f>(C20+90)/2</f>
        <v>89.5</v>
      </c>
      <c r="I29">
        <f>I28</f>
        <v>9</v>
      </c>
      <c r="J29">
        <f>(1*B$14+4*B$15)/5</f>
        <v>52.160000000000004</v>
      </c>
      <c r="K29">
        <f>(1*C$14+4*C$15)/5</f>
        <v>55.820000000000007</v>
      </c>
      <c r="M29">
        <f>M28</f>
        <v>9</v>
      </c>
      <c r="N29">
        <f>(1*B$12+9*B$13)/10</f>
        <v>66.890000000000015</v>
      </c>
      <c r="O29">
        <f>(1*C$12+9*C$13)/10</f>
        <v>37.06</v>
      </c>
      <c r="Q29">
        <f t="shared" si="4"/>
        <v>5</v>
      </c>
      <c r="R29">
        <f t="shared" si="5"/>
        <v>14.5</v>
      </c>
      <c r="S29">
        <f t="shared" si="6"/>
        <v>89</v>
      </c>
    </row>
    <row r="30" spans="1:23">
      <c r="A30">
        <f t="shared" si="7"/>
        <v>5</v>
      </c>
      <c r="B30">
        <f t="shared" si="8"/>
        <v>14.5</v>
      </c>
      <c r="C30">
        <f t="shared" si="9"/>
        <v>89</v>
      </c>
      <c r="E30">
        <f>E28+1</f>
        <v>10</v>
      </c>
      <c r="F30">
        <f>F29</f>
        <v>12.25</v>
      </c>
      <c r="G30">
        <f>G29</f>
        <v>89.5</v>
      </c>
      <c r="I30">
        <f>I28+1</f>
        <v>10</v>
      </c>
      <c r="J30">
        <f>(1*B$14+4*B$15)/5</f>
        <v>52.160000000000004</v>
      </c>
      <c r="K30">
        <f>(1*C$14+4*C$15)/5</f>
        <v>55.820000000000007</v>
      </c>
      <c r="M30">
        <f>M28+1</f>
        <v>10</v>
      </c>
      <c r="N30">
        <f>(1*B$12+9*B$13)/10</f>
        <v>66.890000000000015</v>
      </c>
      <c r="O30">
        <f>(1*C$12+9*C$13)/10</f>
        <v>37.06</v>
      </c>
      <c r="Q30">
        <f t="shared" si="4"/>
        <v>5</v>
      </c>
      <c r="R30">
        <f t="shared" si="5"/>
        <v>14.5</v>
      </c>
      <c r="S30">
        <f t="shared" si="6"/>
        <v>89</v>
      </c>
    </row>
    <row r="31" spans="1:23">
      <c r="A31">
        <f>A30</f>
        <v>5</v>
      </c>
      <c r="B31">
        <f>B30</f>
        <v>14.5</v>
      </c>
      <c r="C31">
        <f>C30</f>
        <v>89</v>
      </c>
      <c r="E31">
        <f>E30</f>
        <v>10</v>
      </c>
      <c r="F31">
        <f>F30</f>
        <v>12.25</v>
      </c>
      <c r="G31">
        <f>G30</f>
        <v>89.5</v>
      </c>
      <c r="I31">
        <f>I30</f>
        <v>10</v>
      </c>
      <c r="J31">
        <f>(5*B$16+0*B$17)/5</f>
        <v>48.9</v>
      </c>
      <c r="K31">
        <f>(5*C$16+0*C$17)/5</f>
        <v>60.1</v>
      </c>
      <c r="M31">
        <f>M30</f>
        <v>10</v>
      </c>
      <c r="N31">
        <f>(10*B$14+0*B$15)/10</f>
        <v>65.2</v>
      </c>
      <c r="O31">
        <f>(10*C$14+0*C$15)/10</f>
        <v>38.700000000000003</v>
      </c>
      <c r="Q31">
        <f t="shared" si="4"/>
        <v>5</v>
      </c>
      <c r="R31">
        <f t="shared" si="5"/>
        <v>14.5</v>
      </c>
      <c r="S31">
        <f t="shared" si="6"/>
        <v>89</v>
      </c>
    </row>
    <row r="32" spans="1:23">
      <c r="A32">
        <f t="shared" ref="A32:A61" si="10">A31</f>
        <v>5</v>
      </c>
      <c r="B32">
        <f t="shared" ref="B32:B61" si="11">B31</f>
        <v>14.5</v>
      </c>
      <c r="C32">
        <f t="shared" ref="C32:C61" si="12">C31</f>
        <v>89</v>
      </c>
      <c r="E32">
        <f t="shared" ref="E32:E61" si="13">E31</f>
        <v>10</v>
      </c>
      <c r="F32">
        <f t="shared" ref="F32:F61" si="14">F31</f>
        <v>12.25</v>
      </c>
      <c r="G32">
        <f t="shared" ref="G32:G61" si="15">G31</f>
        <v>89.5</v>
      </c>
      <c r="I32">
        <f>I30+1</f>
        <v>11</v>
      </c>
      <c r="J32">
        <f>(5*B$16+0*B$17)/5</f>
        <v>48.9</v>
      </c>
      <c r="K32">
        <f>(5*C$16+0*C$17)/5</f>
        <v>60.1</v>
      </c>
      <c r="M32">
        <f>M30+1</f>
        <v>11</v>
      </c>
      <c r="N32">
        <f>(10*B$14+0*B$15)/10</f>
        <v>65.2</v>
      </c>
      <c r="O32">
        <f>(10*C$14+0*C$15)/10</f>
        <v>38.700000000000003</v>
      </c>
      <c r="Q32">
        <f t="shared" si="4"/>
        <v>5</v>
      </c>
      <c r="R32">
        <f t="shared" si="5"/>
        <v>14.5</v>
      </c>
      <c r="S32">
        <f t="shared" si="6"/>
        <v>89</v>
      </c>
    </row>
    <row r="33" spans="1:19">
      <c r="A33">
        <f t="shared" si="10"/>
        <v>5</v>
      </c>
      <c r="B33">
        <f t="shared" si="11"/>
        <v>14.5</v>
      </c>
      <c r="C33">
        <f t="shared" si="12"/>
        <v>89</v>
      </c>
      <c r="E33">
        <f t="shared" si="13"/>
        <v>10</v>
      </c>
      <c r="F33">
        <f t="shared" si="14"/>
        <v>12.25</v>
      </c>
      <c r="G33">
        <f t="shared" si="15"/>
        <v>89.5</v>
      </c>
      <c r="I33">
        <f>I32</f>
        <v>11</v>
      </c>
      <c r="J33">
        <f>(4*B$16+1*B$17)/5</f>
        <v>45.32</v>
      </c>
      <c r="K33">
        <f>(4*C$16+1*C$17)/5</f>
        <v>62.179999999999993</v>
      </c>
      <c r="M33">
        <f>M32</f>
        <v>11</v>
      </c>
      <c r="N33">
        <f>(9*B$14+1*B$15)/10</f>
        <v>63.570000000000007</v>
      </c>
      <c r="O33">
        <f>(9*C$14+1*C$15)/10</f>
        <v>40.840000000000003</v>
      </c>
      <c r="Q33">
        <f t="shared" si="4"/>
        <v>5</v>
      </c>
      <c r="R33">
        <f t="shared" si="5"/>
        <v>14.5</v>
      </c>
      <c r="S33">
        <f t="shared" si="6"/>
        <v>89</v>
      </c>
    </row>
    <row r="34" spans="1:19">
      <c r="A34">
        <f t="shared" si="10"/>
        <v>5</v>
      </c>
      <c r="B34">
        <f t="shared" si="11"/>
        <v>14.5</v>
      </c>
      <c r="C34">
        <f t="shared" si="12"/>
        <v>89</v>
      </c>
      <c r="E34">
        <f t="shared" si="13"/>
        <v>10</v>
      </c>
      <c r="F34">
        <f t="shared" si="14"/>
        <v>12.25</v>
      </c>
      <c r="G34">
        <f t="shared" si="15"/>
        <v>89.5</v>
      </c>
      <c r="I34">
        <f>I32+1</f>
        <v>12</v>
      </c>
      <c r="J34">
        <f>(4*B$16+1*B$17)/5</f>
        <v>45.32</v>
      </c>
      <c r="K34">
        <f>(4*C$16+1*C$17)/5</f>
        <v>62.179999999999993</v>
      </c>
      <c r="M34">
        <f>M32+1</f>
        <v>12</v>
      </c>
      <c r="N34">
        <f>(9*B$14+1*B$15)/10</f>
        <v>63.570000000000007</v>
      </c>
      <c r="O34">
        <f>(9*C$14+1*C$15)/10</f>
        <v>40.840000000000003</v>
      </c>
      <c r="Q34">
        <f t="shared" si="4"/>
        <v>5</v>
      </c>
      <c r="R34">
        <f t="shared" si="5"/>
        <v>14.5</v>
      </c>
      <c r="S34">
        <f t="shared" si="6"/>
        <v>89</v>
      </c>
    </row>
    <row r="35" spans="1:19">
      <c r="A35">
        <f t="shared" si="10"/>
        <v>5</v>
      </c>
      <c r="B35">
        <f t="shared" si="11"/>
        <v>14.5</v>
      </c>
      <c r="C35">
        <f t="shared" si="12"/>
        <v>89</v>
      </c>
      <c r="E35">
        <f t="shared" si="13"/>
        <v>10</v>
      </c>
      <c r="F35">
        <f t="shared" si="14"/>
        <v>12.25</v>
      </c>
      <c r="G35">
        <f t="shared" si="15"/>
        <v>89.5</v>
      </c>
      <c r="I35">
        <f>I34</f>
        <v>12</v>
      </c>
      <c r="J35">
        <f>(3*B$16+2*B$17)/5</f>
        <v>41.739999999999995</v>
      </c>
      <c r="K35">
        <f>(3*C$16+2*C$17)/5</f>
        <v>64.260000000000005</v>
      </c>
      <c r="M35">
        <f>M34</f>
        <v>12</v>
      </c>
      <c r="N35">
        <f>(8*B$14+2*B$15)/10</f>
        <v>61.94</v>
      </c>
      <c r="O35">
        <f>(8*C$14+2*C$15)/10</f>
        <v>42.980000000000004</v>
      </c>
      <c r="Q35">
        <f t="shared" si="4"/>
        <v>5</v>
      </c>
      <c r="R35">
        <f t="shared" si="5"/>
        <v>14.5</v>
      </c>
      <c r="S35">
        <f t="shared" si="6"/>
        <v>89</v>
      </c>
    </row>
    <row r="36" spans="1:19">
      <c r="A36">
        <f t="shared" si="10"/>
        <v>5</v>
      </c>
      <c r="B36">
        <f t="shared" si="11"/>
        <v>14.5</v>
      </c>
      <c r="C36">
        <f t="shared" si="12"/>
        <v>89</v>
      </c>
      <c r="E36">
        <f t="shared" si="13"/>
        <v>10</v>
      </c>
      <c r="F36">
        <f t="shared" si="14"/>
        <v>12.25</v>
      </c>
      <c r="G36">
        <f t="shared" si="15"/>
        <v>89.5</v>
      </c>
      <c r="I36">
        <f>I34+1</f>
        <v>13</v>
      </c>
      <c r="J36">
        <f>(3*B$16+2*B$17)/5</f>
        <v>41.739999999999995</v>
      </c>
      <c r="K36">
        <f>(3*C$16+2*C$17)/5</f>
        <v>64.260000000000005</v>
      </c>
      <c r="M36">
        <f>M34+1</f>
        <v>13</v>
      </c>
      <c r="N36">
        <f>(8*B$14+2*B$15)/10</f>
        <v>61.94</v>
      </c>
      <c r="O36">
        <f>(8*C$14+2*C$15)/10</f>
        <v>42.980000000000004</v>
      </c>
      <c r="Q36">
        <f t="shared" si="4"/>
        <v>5</v>
      </c>
      <c r="R36">
        <f t="shared" si="5"/>
        <v>14.5</v>
      </c>
      <c r="S36">
        <f t="shared" si="6"/>
        <v>89</v>
      </c>
    </row>
    <row r="37" spans="1:19">
      <c r="A37">
        <f t="shared" si="10"/>
        <v>5</v>
      </c>
      <c r="B37">
        <f t="shared" si="11"/>
        <v>14.5</v>
      </c>
      <c r="C37">
        <f t="shared" si="12"/>
        <v>89</v>
      </c>
      <c r="E37">
        <f t="shared" si="13"/>
        <v>10</v>
      </c>
      <c r="F37">
        <f t="shared" si="14"/>
        <v>12.25</v>
      </c>
      <c r="G37">
        <f t="shared" si="15"/>
        <v>89.5</v>
      </c>
      <c r="I37">
        <f>I36</f>
        <v>13</v>
      </c>
      <c r="J37">
        <f>(2*B$16+3*B$17)/5</f>
        <v>38.160000000000004</v>
      </c>
      <c r="K37">
        <f>(2*C$16+3*C$17)/5</f>
        <v>66.34</v>
      </c>
      <c r="M37">
        <f>M36</f>
        <v>13</v>
      </c>
      <c r="N37">
        <f>(7*B$14+3*B$15)/10</f>
        <v>60.31</v>
      </c>
      <c r="O37">
        <f>(7*C$14+3*C$15)/10</f>
        <v>45.120000000000005</v>
      </c>
      <c r="Q37">
        <f t="shared" si="4"/>
        <v>5</v>
      </c>
      <c r="R37">
        <f t="shared" si="5"/>
        <v>14.5</v>
      </c>
      <c r="S37">
        <f t="shared" si="6"/>
        <v>89</v>
      </c>
    </row>
    <row r="38" spans="1:19">
      <c r="A38">
        <f t="shared" si="10"/>
        <v>5</v>
      </c>
      <c r="B38">
        <f t="shared" si="11"/>
        <v>14.5</v>
      </c>
      <c r="C38">
        <f t="shared" si="12"/>
        <v>89</v>
      </c>
      <c r="E38">
        <f t="shared" si="13"/>
        <v>10</v>
      </c>
      <c r="F38">
        <f t="shared" si="14"/>
        <v>12.25</v>
      </c>
      <c r="G38">
        <f t="shared" si="15"/>
        <v>89.5</v>
      </c>
      <c r="I38">
        <f>I36+1</f>
        <v>14</v>
      </c>
      <c r="J38">
        <f>(2*B$16+3*B$17)/5</f>
        <v>38.160000000000004</v>
      </c>
      <c r="K38">
        <f>(2*C$16+3*C$17)/5</f>
        <v>66.34</v>
      </c>
      <c r="M38">
        <f>M36+1</f>
        <v>14</v>
      </c>
      <c r="N38">
        <f>(7*B$14+3*B$15)/10</f>
        <v>60.31</v>
      </c>
      <c r="O38">
        <f>(7*C$14+3*C$15)/10</f>
        <v>45.120000000000005</v>
      </c>
      <c r="Q38">
        <f t="shared" si="4"/>
        <v>5</v>
      </c>
      <c r="R38">
        <f t="shared" si="5"/>
        <v>14.5</v>
      </c>
      <c r="S38">
        <f t="shared" si="6"/>
        <v>89</v>
      </c>
    </row>
    <row r="39" spans="1:19">
      <c r="A39">
        <f t="shared" si="10"/>
        <v>5</v>
      </c>
      <c r="B39">
        <f t="shared" si="11"/>
        <v>14.5</v>
      </c>
      <c r="C39">
        <f t="shared" si="12"/>
        <v>89</v>
      </c>
      <c r="E39">
        <f t="shared" si="13"/>
        <v>10</v>
      </c>
      <c r="F39">
        <f t="shared" si="14"/>
        <v>12.25</v>
      </c>
      <c r="G39">
        <f t="shared" si="15"/>
        <v>89.5</v>
      </c>
      <c r="I39">
        <f>I38</f>
        <v>14</v>
      </c>
      <c r="J39">
        <f>(1*B$16+4*B$17)/5</f>
        <v>34.58</v>
      </c>
      <c r="K39">
        <f>(1*C$16+4*C$17)/5</f>
        <v>68.42</v>
      </c>
      <c r="M39">
        <f>M38</f>
        <v>14</v>
      </c>
      <c r="N39">
        <f>(6*B$14+4*B$15)/10</f>
        <v>58.680000000000007</v>
      </c>
      <c r="O39">
        <f>(6*C$14+4*C$15)/10</f>
        <v>47.260000000000005</v>
      </c>
      <c r="Q39">
        <f t="shared" si="4"/>
        <v>5</v>
      </c>
      <c r="R39">
        <f t="shared" si="5"/>
        <v>14.5</v>
      </c>
      <c r="S39">
        <f t="shared" si="6"/>
        <v>89</v>
      </c>
    </row>
    <row r="40" spans="1:19">
      <c r="A40">
        <f t="shared" si="10"/>
        <v>5</v>
      </c>
      <c r="B40">
        <f t="shared" si="11"/>
        <v>14.5</v>
      </c>
      <c r="C40">
        <f t="shared" si="12"/>
        <v>89</v>
      </c>
      <c r="E40">
        <f t="shared" si="13"/>
        <v>10</v>
      </c>
      <c r="F40">
        <f t="shared" si="14"/>
        <v>12.25</v>
      </c>
      <c r="G40">
        <f t="shared" si="15"/>
        <v>89.5</v>
      </c>
      <c r="I40">
        <f>I38+1</f>
        <v>15</v>
      </c>
      <c r="J40">
        <f>(1*B$16+4*B$17)/5</f>
        <v>34.58</v>
      </c>
      <c r="K40">
        <f>(1*C$16+4*C$17)/5</f>
        <v>68.42</v>
      </c>
      <c r="M40">
        <f>M38+1</f>
        <v>15</v>
      </c>
      <c r="N40">
        <f>(6*B$14+4*B$15)/10</f>
        <v>58.680000000000007</v>
      </c>
      <c r="O40">
        <f>(6*C$14+4*C$15)/10</f>
        <v>47.260000000000005</v>
      </c>
      <c r="Q40">
        <f t="shared" si="4"/>
        <v>5</v>
      </c>
      <c r="R40">
        <f t="shared" si="5"/>
        <v>14.5</v>
      </c>
      <c r="S40">
        <f t="shared" si="6"/>
        <v>89</v>
      </c>
    </row>
    <row r="41" spans="1:19">
      <c r="A41">
        <f t="shared" si="10"/>
        <v>5</v>
      </c>
      <c r="B41">
        <f t="shared" si="11"/>
        <v>14.5</v>
      </c>
      <c r="C41">
        <f t="shared" si="12"/>
        <v>89</v>
      </c>
      <c r="E41">
        <f t="shared" si="13"/>
        <v>10</v>
      </c>
      <c r="F41">
        <f t="shared" si="14"/>
        <v>12.25</v>
      </c>
      <c r="G41">
        <f t="shared" si="15"/>
        <v>89.5</v>
      </c>
      <c r="I41">
        <f>I40</f>
        <v>15</v>
      </c>
      <c r="J41">
        <f>(5*B$18+0*B$19)/5</f>
        <v>31</v>
      </c>
      <c r="K41">
        <f>(5*C$18+0*C$19)/5</f>
        <v>70.5</v>
      </c>
      <c r="M41">
        <f>M40</f>
        <v>15</v>
      </c>
      <c r="N41">
        <f>(5*B$14+5*B$15)/10</f>
        <v>57.05</v>
      </c>
      <c r="O41">
        <f>(5*C$14+5*C$15)/10</f>
        <v>49.4</v>
      </c>
      <c r="Q41">
        <f t="shared" si="4"/>
        <v>5</v>
      </c>
      <c r="R41">
        <f t="shared" si="5"/>
        <v>14.5</v>
      </c>
      <c r="S41">
        <f t="shared" si="6"/>
        <v>89</v>
      </c>
    </row>
    <row r="42" spans="1:19">
      <c r="A42">
        <f t="shared" si="10"/>
        <v>5</v>
      </c>
      <c r="B42">
        <f t="shared" si="11"/>
        <v>14.5</v>
      </c>
      <c r="C42">
        <f t="shared" si="12"/>
        <v>89</v>
      </c>
      <c r="E42">
        <f t="shared" si="13"/>
        <v>10</v>
      </c>
      <c r="F42">
        <f t="shared" si="14"/>
        <v>12.25</v>
      </c>
      <c r="G42">
        <f t="shared" si="15"/>
        <v>89.5</v>
      </c>
      <c r="I42">
        <f>I40+1</f>
        <v>16</v>
      </c>
      <c r="J42">
        <f>(5*B$18+0*B$19)/5</f>
        <v>31</v>
      </c>
      <c r="K42">
        <f>(5*C$18+0*C$19)/5</f>
        <v>70.5</v>
      </c>
      <c r="M42">
        <f>M40+1</f>
        <v>16</v>
      </c>
      <c r="N42">
        <f>(5*B$14+5*B$15)/10</f>
        <v>57.05</v>
      </c>
      <c r="O42">
        <f>(5*C$14+5*C$15)/10</f>
        <v>49.4</v>
      </c>
      <c r="Q42">
        <f t="shared" si="4"/>
        <v>5</v>
      </c>
      <c r="R42">
        <f t="shared" si="5"/>
        <v>14.5</v>
      </c>
      <c r="S42">
        <f t="shared" si="6"/>
        <v>89</v>
      </c>
    </row>
    <row r="43" spans="1:19">
      <c r="A43">
        <f t="shared" si="10"/>
        <v>5</v>
      </c>
      <c r="B43">
        <f t="shared" si="11"/>
        <v>14.5</v>
      </c>
      <c r="C43">
        <f t="shared" si="12"/>
        <v>89</v>
      </c>
      <c r="E43">
        <f t="shared" si="13"/>
        <v>10</v>
      </c>
      <c r="F43">
        <f t="shared" si="14"/>
        <v>12.25</v>
      </c>
      <c r="G43">
        <f t="shared" si="15"/>
        <v>89.5</v>
      </c>
      <c r="I43">
        <f>I42</f>
        <v>16</v>
      </c>
      <c r="J43">
        <f>(4*B$18+1*B$19)/5</f>
        <v>27.7</v>
      </c>
      <c r="K43">
        <f>(4*C$18+1*C$19)/5</f>
        <v>74.2</v>
      </c>
      <c r="M43">
        <f>M42</f>
        <v>16</v>
      </c>
      <c r="N43">
        <f>(4*B$14+6*B$15)/10</f>
        <v>55.42</v>
      </c>
      <c r="O43">
        <f>(4*C$14+6*C$15)/10</f>
        <v>51.540000000000006</v>
      </c>
      <c r="Q43">
        <f t="shared" si="4"/>
        <v>5</v>
      </c>
      <c r="R43">
        <f t="shared" si="5"/>
        <v>14.5</v>
      </c>
      <c r="S43">
        <f t="shared" si="6"/>
        <v>89</v>
      </c>
    </row>
    <row r="44" spans="1:19">
      <c r="A44">
        <f t="shared" si="10"/>
        <v>5</v>
      </c>
      <c r="B44">
        <f t="shared" si="11"/>
        <v>14.5</v>
      </c>
      <c r="C44">
        <f t="shared" si="12"/>
        <v>89</v>
      </c>
      <c r="E44">
        <f t="shared" si="13"/>
        <v>10</v>
      </c>
      <c r="F44">
        <f t="shared" si="14"/>
        <v>12.25</v>
      </c>
      <c r="G44">
        <f t="shared" si="15"/>
        <v>89.5</v>
      </c>
      <c r="I44">
        <f>I42+1</f>
        <v>17</v>
      </c>
      <c r="J44">
        <f>(4*B$18+1*B$19)/5</f>
        <v>27.7</v>
      </c>
      <c r="K44">
        <f>(4*C$18+1*C$19)/5</f>
        <v>74.2</v>
      </c>
      <c r="M44">
        <f>M42+1</f>
        <v>17</v>
      </c>
      <c r="N44">
        <f>(4*B$14+6*B$15)/10</f>
        <v>55.42</v>
      </c>
      <c r="O44">
        <f>(4*C$14+6*C$15)/10</f>
        <v>51.540000000000006</v>
      </c>
      <c r="Q44">
        <f t="shared" si="4"/>
        <v>5</v>
      </c>
      <c r="R44">
        <f t="shared" si="5"/>
        <v>14.5</v>
      </c>
      <c r="S44">
        <f t="shared" si="6"/>
        <v>89</v>
      </c>
    </row>
    <row r="45" spans="1:19">
      <c r="A45">
        <f t="shared" si="10"/>
        <v>5</v>
      </c>
      <c r="B45">
        <f t="shared" si="11"/>
        <v>14.5</v>
      </c>
      <c r="C45">
        <f t="shared" si="12"/>
        <v>89</v>
      </c>
      <c r="E45">
        <f t="shared" si="13"/>
        <v>10</v>
      </c>
      <c r="F45">
        <f t="shared" si="14"/>
        <v>12.25</v>
      </c>
      <c r="G45">
        <f t="shared" si="15"/>
        <v>89.5</v>
      </c>
      <c r="I45">
        <f>I44</f>
        <v>17</v>
      </c>
      <c r="J45">
        <f>(3*B$18+2*B$19)/5</f>
        <v>24.4</v>
      </c>
      <c r="K45">
        <f>(3*C$18+2*C$19)/5</f>
        <v>77.900000000000006</v>
      </c>
      <c r="M45">
        <f>M44</f>
        <v>17</v>
      </c>
      <c r="N45">
        <f>(3*B$14+7*B$15)/10</f>
        <v>53.790000000000006</v>
      </c>
      <c r="O45">
        <f>(3*C$14+7*C$15)/10</f>
        <v>53.679999999999993</v>
      </c>
      <c r="Q45">
        <f t="shared" si="4"/>
        <v>5</v>
      </c>
      <c r="R45">
        <f t="shared" si="5"/>
        <v>14.5</v>
      </c>
      <c r="S45">
        <f t="shared" si="6"/>
        <v>89</v>
      </c>
    </row>
    <row r="46" spans="1:19">
      <c r="A46">
        <f t="shared" si="10"/>
        <v>5</v>
      </c>
      <c r="B46">
        <f t="shared" si="11"/>
        <v>14.5</v>
      </c>
      <c r="C46">
        <f t="shared" si="12"/>
        <v>89</v>
      </c>
      <c r="E46">
        <f t="shared" si="13"/>
        <v>10</v>
      </c>
      <c r="F46">
        <f t="shared" si="14"/>
        <v>12.25</v>
      </c>
      <c r="G46">
        <f t="shared" si="15"/>
        <v>89.5</v>
      </c>
      <c r="I46">
        <f>I44+1</f>
        <v>18</v>
      </c>
      <c r="J46">
        <f>(3*B$18+2*B$19)/5</f>
        <v>24.4</v>
      </c>
      <c r="K46">
        <f>(3*C$18+2*C$19)/5</f>
        <v>77.900000000000006</v>
      </c>
      <c r="M46">
        <f>M44+1</f>
        <v>18</v>
      </c>
      <c r="N46">
        <f>(3*B$14+7*B$15)/10</f>
        <v>53.790000000000006</v>
      </c>
      <c r="O46">
        <f>(3*C$14+7*C$15)/10</f>
        <v>53.679999999999993</v>
      </c>
      <c r="Q46">
        <f t="shared" si="4"/>
        <v>5</v>
      </c>
      <c r="R46">
        <f t="shared" si="5"/>
        <v>14.5</v>
      </c>
      <c r="S46">
        <f t="shared" si="6"/>
        <v>89</v>
      </c>
    </row>
    <row r="47" spans="1:19">
      <c r="A47">
        <f t="shared" si="10"/>
        <v>5</v>
      </c>
      <c r="B47">
        <f t="shared" si="11"/>
        <v>14.5</v>
      </c>
      <c r="C47">
        <f t="shared" si="12"/>
        <v>89</v>
      </c>
      <c r="E47">
        <f t="shared" si="13"/>
        <v>10</v>
      </c>
      <c r="F47">
        <f t="shared" si="14"/>
        <v>12.25</v>
      </c>
      <c r="G47">
        <f t="shared" si="15"/>
        <v>89.5</v>
      </c>
      <c r="I47">
        <f>I46</f>
        <v>18</v>
      </c>
      <c r="J47">
        <f>(2*B$18+3*B$19)/5</f>
        <v>21.1</v>
      </c>
      <c r="K47">
        <f>(2*C$18+3*C$19)/5</f>
        <v>81.599999999999994</v>
      </c>
      <c r="M47">
        <f>M46</f>
        <v>18</v>
      </c>
      <c r="N47">
        <f>(2*B$14+8*B$15)/10</f>
        <v>52.160000000000004</v>
      </c>
      <c r="O47">
        <f>(2*C$14+8*C$15)/10</f>
        <v>55.820000000000007</v>
      </c>
      <c r="Q47">
        <f t="shared" si="4"/>
        <v>5</v>
      </c>
      <c r="R47">
        <f t="shared" si="5"/>
        <v>14.5</v>
      </c>
      <c r="S47">
        <f t="shared" si="6"/>
        <v>89</v>
      </c>
    </row>
    <row r="48" spans="1:19">
      <c r="A48">
        <f t="shared" si="10"/>
        <v>5</v>
      </c>
      <c r="B48">
        <f t="shared" si="11"/>
        <v>14.5</v>
      </c>
      <c r="C48">
        <f t="shared" si="12"/>
        <v>89</v>
      </c>
      <c r="E48">
        <f t="shared" si="13"/>
        <v>10</v>
      </c>
      <c r="F48">
        <f t="shared" si="14"/>
        <v>12.25</v>
      </c>
      <c r="G48">
        <f t="shared" si="15"/>
        <v>89.5</v>
      </c>
      <c r="I48">
        <f>I46+1</f>
        <v>19</v>
      </c>
      <c r="J48">
        <f>(2*B$18+3*B$19)/5</f>
        <v>21.1</v>
      </c>
      <c r="K48">
        <f>(2*C$18+3*C$19)/5</f>
        <v>81.599999999999994</v>
      </c>
      <c r="M48">
        <f>M46+1</f>
        <v>19</v>
      </c>
      <c r="N48">
        <f>(2*B$14+8*B$15)/10</f>
        <v>52.160000000000004</v>
      </c>
      <c r="O48">
        <f>(2*C$14+8*C$15)/10</f>
        <v>55.820000000000007</v>
      </c>
      <c r="Q48">
        <f t="shared" si="4"/>
        <v>5</v>
      </c>
      <c r="R48">
        <f t="shared" si="5"/>
        <v>14.5</v>
      </c>
      <c r="S48">
        <f t="shared" si="6"/>
        <v>89</v>
      </c>
    </row>
    <row r="49" spans="1:19">
      <c r="A49">
        <f t="shared" si="10"/>
        <v>5</v>
      </c>
      <c r="B49">
        <f t="shared" si="11"/>
        <v>14.5</v>
      </c>
      <c r="C49">
        <f t="shared" si="12"/>
        <v>89</v>
      </c>
      <c r="E49">
        <f t="shared" si="13"/>
        <v>10</v>
      </c>
      <c r="F49">
        <f t="shared" si="14"/>
        <v>12.25</v>
      </c>
      <c r="G49">
        <f t="shared" si="15"/>
        <v>89.5</v>
      </c>
      <c r="I49">
        <f>I48</f>
        <v>19</v>
      </c>
      <c r="J49">
        <f>(1*B$18+4*B$19)/5</f>
        <v>17.8</v>
      </c>
      <c r="K49">
        <f>(1*C$18+4*C$19)/5</f>
        <v>85.3</v>
      </c>
      <c r="M49">
        <f>M48</f>
        <v>19</v>
      </c>
      <c r="N49">
        <f>(1*B$14+9*B$15)/10</f>
        <v>50.529999999999994</v>
      </c>
      <c r="O49">
        <f>(1*C$14+9*C$15)/10</f>
        <v>57.96</v>
      </c>
      <c r="Q49">
        <f t="shared" si="4"/>
        <v>5</v>
      </c>
      <c r="R49">
        <f t="shared" si="5"/>
        <v>14.5</v>
      </c>
      <c r="S49">
        <f t="shared" si="6"/>
        <v>89</v>
      </c>
    </row>
    <row r="50" spans="1:19">
      <c r="A50">
        <f t="shared" si="10"/>
        <v>5</v>
      </c>
      <c r="B50">
        <f t="shared" si="11"/>
        <v>14.5</v>
      </c>
      <c r="C50">
        <f t="shared" si="12"/>
        <v>89</v>
      </c>
      <c r="E50">
        <f t="shared" si="13"/>
        <v>10</v>
      </c>
      <c r="F50">
        <f t="shared" si="14"/>
        <v>12.25</v>
      </c>
      <c r="G50">
        <f t="shared" si="15"/>
        <v>89.5</v>
      </c>
      <c r="I50">
        <f>I48+1</f>
        <v>20</v>
      </c>
      <c r="J50">
        <f>(1*B$18+4*B$19)/5</f>
        <v>17.8</v>
      </c>
      <c r="K50">
        <f>(1*C$18+4*C$19)/5</f>
        <v>85.3</v>
      </c>
      <c r="M50">
        <f>M48+1</f>
        <v>20</v>
      </c>
      <c r="N50">
        <f>(1*B$14+9*B$15)/10</f>
        <v>50.529999999999994</v>
      </c>
      <c r="O50">
        <f>(1*C$14+9*C$15)/10</f>
        <v>57.96</v>
      </c>
      <c r="Q50">
        <f t="shared" si="4"/>
        <v>5</v>
      </c>
      <c r="R50">
        <f t="shared" si="5"/>
        <v>14.5</v>
      </c>
      <c r="S50">
        <f t="shared" si="6"/>
        <v>89</v>
      </c>
    </row>
    <row r="51" spans="1:19">
      <c r="A51">
        <f t="shared" si="10"/>
        <v>5</v>
      </c>
      <c r="B51">
        <f t="shared" si="11"/>
        <v>14.5</v>
      </c>
      <c r="C51">
        <f t="shared" si="12"/>
        <v>89</v>
      </c>
      <c r="E51">
        <f t="shared" si="13"/>
        <v>10</v>
      </c>
      <c r="F51">
        <f t="shared" si="14"/>
        <v>12.25</v>
      </c>
      <c r="G51">
        <f t="shared" si="15"/>
        <v>89.5</v>
      </c>
      <c r="I51">
        <f>I50</f>
        <v>20</v>
      </c>
      <c r="J51">
        <f>(5*B$20+0*10)/5</f>
        <v>14.5</v>
      </c>
      <c r="K51">
        <f>(5*C$20+0*90)/5</f>
        <v>89</v>
      </c>
      <c r="M51">
        <f>M50</f>
        <v>20</v>
      </c>
      <c r="N51">
        <f>(10*B$16+0*B$17)/10</f>
        <v>48.9</v>
      </c>
      <c r="O51">
        <f>(10*C$16+0*C$17)/10</f>
        <v>60.1</v>
      </c>
      <c r="Q51">
        <f t="shared" si="4"/>
        <v>5</v>
      </c>
      <c r="R51">
        <f t="shared" si="5"/>
        <v>14.5</v>
      </c>
      <c r="S51">
        <f t="shared" si="6"/>
        <v>89</v>
      </c>
    </row>
    <row r="52" spans="1:19">
      <c r="A52">
        <f t="shared" si="10"/>
        <v>5</v>
      </c>
      <c r="B52">
        <f t="shared" si="11"/>
        <v>14.5</v>
      </c>
      <c r="C52">
        <f t="shared" si="12"/>
        <v>89</v>
      </c>
      <c r="E52">
        <f t="shared" si="13"/>
        <v>10</v>
      </c>
      <c r="F52">
        <f t="shared" si="14"/>
        <v>12.25</v>
      </c>
      <c r="G52">
        <f t="shared" si="15"/>
        <v>89.5</v>
      </c>
      <c r="I52">
        <f>I50+1</f>
        <v>21</v>
      </c>
      <c r="J52">
        <f>(5*B$20+0*10)/5</f>
        <v>14.5</v>
      </c>
      <c r="K52">
        <f>(5*C$20+0*90)/5</f>
        <v>89</v>
      </c>
      <c r="M52">
        <f>M50+1</f>
        <v>21</v>
      </c>
      <c r="N52">
        <f>(10*B$16+0*B$17)/10</f>
        <v>48.9</v>
      </c>
      <c r="O52">
        <f>(10*C$16+0*C$17)/10</f>
        <v>60.1</v>
      </c>
      <c r="Q52">
        <f t="shared" si="4"/>
        <v>5</v>
      </c>
      <c r="R52">
        <f t="shared" si="5"/>
        <v>14.5</v>
      </c>
      <c r="S52">
        <f t="shared" si="6"/>
        <v>89</v>
      </c>
    </row>
    <row r="53" spans="1:19">
      <c r="A53">
        <f t="shared" si="10"/>
        <v>5</v>
      </c>
      <c r="B53">
        <f t="shared" si="11"/>
        <v>14.5</v>
      </c>
      <c r="C53">
        <f t="shared" si="12"/>
        <v>89</v>
      </c>
      <c r="E53">
        <f t="shared" si="13"/>
        <v>10</v>
      </c>
      <c r="F53">
        <f t="shared" si="14"/>
        <v>12.25</v>
      </c>
      <c r="G53">
        <f t="shared" si="15"/>
        <v>89.5</v>
      </c>
      <c r="I53">
        <f>I52</f>
        <v>21</v>
      </c>
      <c r="J53">
        <f>(4*B$20+1*10)/5</f>
        <v>13.6</v>
      </c>
      <c r="K53">
        <f>(4*C$20+1*90)/5</f>
        <v>89.2</v>
      </c>
      <c r="M53">
        <f>M52</f>
        <v>21</v>
      </c>
      <c r="N53">
        <f>(9*B$16+1*B$17)/10</f>
        <v>47.11</v>
      </c>
      <c r="O53">
        <f>(9*C$16+1*C$17)/10</f>
        <v>61.14</v>
      </c>
      <c r="Q53">
        <f t="shared" si="4"/>
        <v>5</v>
      </c>
      <c r="R53">
        <f t="shared" si="5"/>
        <v>14.5</v>
      </c>
      <c r="S53">
        <f t="shared" si="6"/>
        <v>89</v>
      </c>
    </row>
    <row r="54" spans="1:19">
      <c r="A54">
        <f t="shared" si="10"/>
        <v>5</v>
      </c>
      <c r="B54">
        <f t="shared" si="11"/>
        <v>14.5</v>
      </c>
      <c r="C54">
        <f t="shared" si="12"/>
        <v>89</v>
      </c>
      <c r="E54">
        <f t="shared" si="13"/>
        <v>10</v>
      </c>
      <c r="F54">
        <f t="shared" si="14"/>
        <v>12.25</v>
      </c>
      <c r="G54">
        <f t="shared" si="15"/>
        <v>89.5</v>
      </c>
      <c r="I54">
        <f>I52+1</f>
        <v>22</v>
      </c>
      <c r="J54">
        <f>(4*B$20+1*10)/5</f>
        <v>13.6</v>
      </c>
      <c r="K54">
        <f>(4*C$20+1*90)/5</f>
        <v>89.2</v>
      </c>
      <c r="M54">
        <f>M52+1</f>
        <v>22</v>
      </c>
      <c r="N54">
        <f>(9*B$16+1*B$17)/10</f>
        <v>47.11</v>
      </c>
      <c r="O54">
        <f>(9*C$16+1*C$17)/10</f>
        <v>61.14</v>
      </c>
      <c r="Q54">
        <f t="shared" si="4"/>
        <v>5</v>
      </c>
      <c r="R54">
        <f t="shared" si="5"/>
        <v>14.5</v>
      </c>
      <c r="S54">
        <f t="shared" si="6"/>
        <v>89</v>
      </c>
    </row>
    <row r="55" spans="1:19">
      <c r="A55">
        <f t="shared" si="10"/>
        <v>5</v>
      </c>
      <c r="B55">
        <f t="shared" si="11"/>
        <v>14.5</v>
      </c>
      <c r="C55">
        <f t="shared" si="12"/>
        <v>89</v>
      </c>
      <c r="E55">
        <f t="shared" si="13"/>
        <v>10</v>
      </c>
      <c r="F55">
        <f t="shared" si="14"/>
        <v>12.25</v>
      </c>
      <c r="G55">
        <f t="shared" si="15"/>
        <v>89.5</v>
      </c>
      <c r="I55">
        <f>I54</f>
        <v>22</v>
      </c>
      <c r="J55">
        <f>(3*B$20+2*10)/5</f>
        <v>12.7</v>
      </c>
      <c r="K55">
        <f>(3*C$20+2*90)/5</f>
        <v>89.4</v>
      </c>
      <c r="M55">
        <f>M54</f>
        <v>22</v>
      </c>
      <c r="N55">
        <f>(8*B$16+2*B$17)/10</f>
        <v>45.32</v>
      </c>
      <c r="O55">
        <f>(8*C$16+2*C$17)/10</f>
        <v>62.179999999999993</v>
      </c>
      <c r="Q55">
        <f t="shared" si="4"/>
        <v>5</v>
      </c>
      <c r="R55">
        <f t="shared" si="5"/>
        <v>14.5</v>
      </c>
      <c r="S55">
        <f t="shared" si="6"/>
        <v>89</v>
      </c>
    </row>
    <row r="56" spans="1:19">
      <c r="A56">
        <f t="shared" si="10"/>
        <v>5</v>
      </c>
      <c r="B56">
        <f t="shared" si="11"/>
        <v>14.5</v>
      </c>
      <c r="C56">
        <f t="shared" si="12"/>
        <v>89</v>
      </c>
      <c r="E56">
        <f t="shared" si="13"/>
        <v>10</v>
      </c>
      <c r="F56">
        <f t="shared" si="14"/>
        <v>12.25</v>
      </c>
      <c r="G56">
        <f t="shared" si="15"/>
        <v>89.5</v>
      </c>
      <c r="I56">
        <f>I54+1</f>
        <v>23</v>
      </c>
      <c r="J56">
        <f>(3*B$20+2*10)/5</f>
        <v>12.7</v>
      </c>
      <c r="K56">
        <f>(3*C$20+2*90)/5</f>
        <v>89.4</v>
      </c>
      <c r="M56">
        <f>M54+1</f>
        <v>23</v>
      </c>
      <c r="N56">
        <f>(8*B$16+2*B$17)/10</f>
        <v>45.32</v>
      </c>
      <c r="O56">
        <f>(8*C$16+2*C$17)/10</f>
        <v>62.179999999999993</v>
      </c>
      <c r="Q56">
        <f t="shared" si="4"/>
        <v>5</v>
      </c>
      <c r="R56">
        <f t="shared" si="5"/>
        <v>14.5</v>
      </c>
      <c r="S56">
        <f t="shared" si="6"/>
        <v>89</v>
      </c>
    </row>
    <row r="57" spans="1:19">
      <c r="A57">
        <f t="shared" si="10"/>
        <v>5</v>
      </c>
      <c r="B57">
        <f t="shared" si="11"/>
        <v>14.5</v>
      </c>
      <c r="C57">
        <f t="shared" si="12"/>
        <v>89</v>
      </c>
      <c r="E57">
        <f t="shared" si="13"/>
        <v>10</v>
      </c>
      <c r="F57">
        <f t="shared" si="14"/>
        <v>12.25</v>
      </c>
      <c r="G57">
        <f t="shared" si="15"/>
        <v>89.5</v>
      </c>
      <c r="I57">
        <f>I56</f>
        <v>23</v>
      </c>
      <c r="J57">
        <f>(2*B$20+3*10)/5</f>
        <v>11.8</v>
      </c>
      <c r="K57">
        <f>(2*C$20+3*90)/5</f>
        <v>89.6</v>
      </c>
      <c r="M57">
        <f>M56</f>
        <v>23</v>
      </c>
      <c r="N57">
        <f>(7*B$16+3*B$17)/10</f>
        <v>43.53</v>
      </c>
      <c r="O57">
        <f>(7*C$16+3*C$17)/10</f>
        <v>63.220000000000006</v>
      </c>
      <c r="Q57">
        <f t="shared" si="4"/>
        <v>5</v>
      </c>
      <c r="R57">
        <f t="shared" si="5"/>
        <v>14.5</v>
      </c>
      <c r="S57">
        <f t="shared" si="6"/>
        <v>89</v>
      </c>
    </row>
    <row r="58" spans="1:19">
      <c r="A58">
        <f t="shared" si="10"/>
        <v>5</v>
      </c>
      <c r="B58">
        <f t="shared" si="11"/>
        <v>14.5</v>
      </c>
      <c r="C58">
        <f t="shared" si="12"/>
        <v>89</v>
      </c>
      <c r="E58">
        <f t="shared" si="13"/>
        <v>10</v>
      </c>
      <c r="F58">
        <f t="shared" si="14"/>
        <v>12.25</v>
      </c>
      <c r="G58">
        <f t="shared" si="15"/>
        <v>89.5</v>
      </c>
      <c r="I58">
        <f>I56+1</f>
        <v>24</v>
      </c>
      <c r="J58">
        <f>(2*B$20 +3*10)/5</f>
        <v>11.8</v>
      </c>
      <c r="K58">
        <f>(2*C$20 +3*90)/5</f>
        <v>89.6</v>
      </c>
      <c r="M58">
        <f>M56+1</f>
        <v>24</v>
      </c>
      <c r="N58">
        <f>(7*B$16+3*B$17)/10</f>
        <v>43.53</v>
      </c>
      <c r="O58">
        <f>(7*C$16+3*C$17)/10</f>
        <v>63.220000000000006</v>
      </c>
      <c r="Q58">
        <f t="shared" si="4"/>
        <v>5</v>
      </c>
      <c r="R58">
        <f t="shared" si="5"/>
        <v>14.5</v>
      </c>
      <c r="S58">
        <f t="shared" si="6"/>
        <v>89</v>
      </c>
    </row>
    <row r="59" spans="1:19">
      <c r="A59">
        <f t="shared" si="10"/>
        <v>5</v>
      </c>
      <c r="B59">
        <f t="shared" si="11"/>
        <v>14.5</v>
      </c>
      <c r="C59">
        <f t="shared" si="12"/>
        <v>89</v>
      </c>
      <c r="E59">
        <f t="shared" si="13"/>
        <v>10</v>
      </c>
      <c r="F59">
        <f t="shared" si="14"/>
        <v>12.25</v>
      </c>
      <c r="G59">
        <f t="shared" si="15"/>
        <v>89.5</v>
      </c>
      <c r="I59">
        <f>I58</f>
        <v>24</v>
      </c>
      <c r="J59">
        <f>(1*B$20+4*10)/5</f>
        <v>10.9</v>
      </c>
      <c r="K59">
        <f>(1*C$20+4*90)/5</f>
        <v>89.8</v>
      </c>
      <c r="M59">
        <f>M58</f>
        <v>24</v>
      </c>
      <c r="N59">
        <f>(6*B$16+4*B$17)/10</f>
        <v>41.739999999999995</v>
      </c>
      <c r="O59">
        <f>(6*C$16+4*C$17)/10</f>
        <v>64.260000000000005</v>
      </c>
      <c r="Q59">
        <f t="shared" si="4"/>
        <v>5</v>
      </c>
      <c r="R59">
        <f t="shared" si="5"/>
        <v>14.5</v>
      </c>
      <c r="S59">
        <f t="shared" si="6"/>
        <v>89</v>
      </c>
    </row>
    <row r="60" spans="1:19">
      <c r="A60">
        <f t="shared" si="10"/>
        <v>5</v>
      </c>
      <c r="B60">
        <f t="shared" si="11"/>
        <v>14.5</v>
      </c>
      <c r="C60">
        <f t="shared" si="12"/>
        <v>89</v>
      </c>
      <c r="E60">
        <f t="shared" si="13"/>
        <v>10</v>
      </c>
      <c r="F60">
        <f t="shared" si="14"/>
        <v>12.25</v>
      </c>
      <c r="G60">
        <f t="shared" si="15"/>
        <v>89.5</v>
      </c>
      <c r="I60">
        <f>I58+1</f>
        <v>25</v>
      </c>
      <c r="J60">
        <f>(1*B$20+4*10)/5</f>
        <v>10.9</v>
      </c>
      <c r="K60">
        <f>(1*C$20+4*90)/5</f>
        <v>89.8</v>
      </c>
      <c r="M60">
        <f>M58+1</f>
        <v>25</v>
      </c>
      <c r="N60">
        <f>(6*B$16+4*B$17)/10</f>
        <v>41.739999999999995</v>
      </c>
      <c r="O60">
        <f>(6*C$16+4*C$17)/10</f>
        <v>64.260000000000005</v>
      </c>
      <c r="Q60">
        <f t="shared" si="4"/>
        <v>5</v>
      </c>
      <c r="R60">
        <f t="shared" si="5"/>
        <v>14.5</v>
      </c>
      <c r="S60">
        <f t="shared" si="6"/>
        <v>89</v>
      </c>
    </row>
    <row r="61" spans="1:19">
      <c r="A61">
        <f t="shared" si="10"/>
        <v>5</v>
      </c>
      <c r="B61">
        <f t="shared" si="11"/>
        <v>14.5</v>
      </c>
      <c r="C61">
        <f t="shared" si="12"/>
        <v>89</v>
      </c>
      <c r="E61">
        <f t="shared" si="13"/>
        <v>10</v>
      </c>
      <c r="F61">
        <f t="shared" si="14"/>
        <v>12.25</v>
      </c>
      <c r="G61">
        <f t="shared" si="15"/>
        <v>89.5</v>
      </c>
      <c r="I61">
        <f>I60</f>
        <v>25</v>
      </c>
      <c r="J61">
        <f>J60</f>
        <v>10.9</v>
      </c>
      <c r="K61">
        <f>K60</f>
        <v>89.8</v>
      </c>
      <c r="M61">
        <f>M60</f>
        <v>25</v>
      </c>
      <c r="N61">
        <f>(5*B$16+5*B$17)/10</f>
        <v>39.950000000000003</v>
      </c>
      <c r="O61">
        <f>(5*C$16+5*C$17)/10</f>
        <v>65.3</v>
      </c>
      <c r="Q61">
        <f t="shared" si="4"/>
        <v>5</v>
      </c>
      <c r="R61">
        <f t="shared" si="5"/>
        <v>14.5</v>
      </c>
      <c r="S61">
        <f t="shared" si="6"/>
        <v>89</v>
      </c>
    </row>
    <row r="62" spans="1:19">
      <c r="A62">
        <f t="shared" ref="A62:A110" si="16">A61</f>
        <v>5</v>
      </c>
      <c r="B62">
        <f t="shared" ref="B62:B110" si="17">B61</f>
        <v>14.5</v>
      </c>
      <c r="C62">
        <f t="shared" ref="C62:C110" si="18">C61</f>
        <v>89</v>
      </c>
      <c r="E62">
        <f t="shared" ref="E62:E110" si="19">E61</f>
        <v>10</v>
      </c>
      <c r="F62">
        <f t="shared" ref="F62:F110" si="20">F61</f>
        <v>12.25</v>
      </c>
      <c r="G62">
        <f t="shared" ref="G62:G110" si="21">G61</f>
        <v>89.5</v>
      </c>
      <c r="I62">
        <f t="shared" ref="I62:I110" si="22">I61</f>
        <v>25</v>
      </c>
      <c r="J62">
        <f t="shared" ref="J62:J110" si="23">J61</f>
        <v>10.9</v>
      </c>
      <c r="K62">
        <f t="shared" ref="K62:K110" si="24">K61</f>
        <v>89.8</v>
      </c>
      <c r="M62">
        <f>M60+1</f>
        <v>26</v>
      </c>
      <c r="N62">
        <f>(5*B$16+5*B$17)/10</f>
        <v>39.950000000000003</v>
      </c>
      <c r="O62">
        <f>(5*C$16+5*C$17)/10</f>
        <v>65.3</v>
      </c>
      <c r="Q62">
        <f t="shared" si="4"/>
        <v>5</v>
      </c>
      <c r="R62">
        <f t="shared" si="5"/>
        <v>14.5</v>
      </c>
      <c r="S62">
        <f t="shared" si="6"/>
        <v>89</v>
      </c>
    </row>
    <row r="63" spans="1:19">
      <c r="A63">
        <f t="shared" si="16"/>
        <v>5</v>
      </c>
      <c r="B63">
        <f t="shared" si="17"/>
        <v>14.5</v>
      </c>
      <c r="C63">
        <f t="shared" si="18"/>
        <v>89</v>
      </c>
      <c r="E63">
        <f t="shared" si="19"/>
        <v>10</v>
      </c>
      <c r="F63">
        <f t="shared" si="20"/>
        <v>12.25</v>
      </c>
      <c r="G63">
        <f t="shared" si="21"/>
        <v>89.5</v>
      </c>
      <c r="I63">
        <f t="shared" si="22"/>
        <v>25</v>
      </c>
      <c r="J63">
        <f t="shared" si="23"/>
        <v>10.9</v>
      </c>
      <c r="K63">
        <f t="shared" si="24"/>
        <v>89.8</v>
      </c>
      <c r="M63">
        <f>M62</f>
        <v>26</v>
      </c>
      <c r="N63">
        <f>(4*B$16+6*B$17)/10</f>
        <v>38.160000000000004</v>
      </c>
      <c r="O63">
        <f>(4*C$16+6*C$17)/10</f>
        <v>66.34</v>
      </c>
      <c r="Q63">
        <f t="shared" si="4"/>
        <v>5</v>
      </c>
      <c r="R63">
        <f t="shared" si="5"/>
        <v>14.5</v>
      </c>
      <c r="S63">
        <f t="shared" si="6"/>
        <v>89</v>
      </c>
    </row>
    <row r="64" spans="1:19">
      <c r="A64">
        <f t="shared" si="16"/>
        <v>5</v>
      </c>
      <c r="B64">
        <f t="shared" si="17"/>
        <v>14.5</v>
      </c>
      <c r="C64">
        <f t="shared" si="18"/>
        <v>89</v>
      </c>
      <c r="E64">
        <f t="shared" si="19"/>
        <v>10</v>
      </c>
      <c r="F64">
        <f t="shared" si="20"/>
        <v>12.25</v>
      </c>
      <c r="G64">
        <f t="shared" si="21"/>
        <v>89.5</v>
      </c>
      <c r="I64">
        <f t="shared" si="22"/>
        <v>25</v>
      </c>
      <c r="J64">
        <f t="shared" si="23"/>
        <v>10.9</v>
      </c>
      <c r="K64">
        <f t="shared" si="24"/>
        <v>89.8</v>
      </c>
      <c r="M64">
        <f>M62+1</f>
        <v>27</v>
      </c>
      <c r="N64">
        <f>(4*B$16+6*B$17)/10</f>
        <v>38.160000000000004</v>
      </c>
      <c r="O64">
        <f>(4*C$16+6*C$17)/10</f>
        <v>66.34</v>
      </c>
      <c r="Q64">
        <f t="shared" si="4"/>
        <v>5</v>
      </c>
      <c r="R64">
        <f t="shared" si="5"/>
        <v>14.5</v>
      </c>
      <c r="S64">
        <f t="shared" si="6"/>
        <v>89</v>
      </c>
    </row>
    <row r="65" spans="1:19">
      <c r="A65">
        <f t="shared" si="16"/>
        <v>5</v>
      </c>
      <c r="B65">
        <f t="shared" si="17"/>
        <v>14.5</v>
      </c>
      <c r="C65">
        <f t="shared" si="18"/>
        <v>89</v>
      </c>
      <c r="E65">
        <f t="shared" si="19"/>
        <v>10</v>
      </c>
      <c r="F65">
        <f t="shared" si="20"/>
        <v>12.25</v>
      </c>
      <c r="G65">
        <f t="shared" si="21"/>
        <v>89.5</v>
      </c>
      <c r="I65">
        <f t="shared" si="22"/>
        <v>25</v>
      </c>
      <c r="J65">
        <f t="shared" si="23"/>
        <v>10.9</v>
      </c>
      <c r="K65">
        <f t="shared" si="24"/>
        <v>89.8</v>
      </c>
      <c r="M65">
        <f>M64</f>
        <v>27</v>
      </c>
      <c r="N65">
        <f>(3*B$16+7*B$17)/10</f>
        <v>36.369999999999997</v>
      </c>
      <c r="O65">
        <f>(3*C$16+7*C$17)/10</f>
        <v>67.38</v>
      </c>
      <c r="Q65">
        <f t="shared" si="4"/>
        <v>5</v>
      </c>
      <c r="R65">
        <f t="shared" si="5"/>
        <v>14.5</v>
      </c>
      <c r="S65">
        <f t="shared" si="6"/>
        <v>89</v>
      </c>
    </row>
    <row r="66" spans="1:19">
      <c r="A66">
        <f t="shared" si="16"/>
        <v>5</v>
      </c>
      <c r="B66">
        <f t="shared" si="17"/>
        <v>14.5</v>
      </c>
      <c r="C66">
        <f t="shared" si="18"/>
        <v>89</v>
      </c>
      <c r="E66">
        <f t="shared" si="19"/>
        <v>10</v>
      </c>
      <c r="F66">
        <f t="shared" si="20"/>
        <v>12.25</v>
      </c>
      <c r="G66">
        <f t="shared" si="21"/>
        <v>89.5</v>
      </c>
      <c r="I66">
        <f t="shared" si="22"/>
        <v>25</v>
      </c>
      <c r="J66">
        <f t="shared" si="23"/>
        <v>10.9</v>
      </c>
      <c r="K66">
        <f t="shared" si="24"/>
        <v>89.8</v>
      </c>
      <c r="M66">
        <f>M64+1</f>
        <v>28</v>
      </c>
      <c r="N66">
        <f>(3*B$16+7*B$17)/10</f>
        <v>36.369999999999997</v>
      </c>
      <c r="O66">
        <f>(3*C$16+7*C$17)/10</f>
        <v>67.38</v>
      </c>
      <c r="Q66">
        <f t="shared" si="4"/>
        <v>5</v>
      </c>
      <c r="R66">
        <f t="shared" si="5"/>
        <v>14.5</v>
      </c>
      <c r="S66">
        <f t="shared" si="6"/>
        <v>89</v>
      </c>
    </row>
    <row r="67" spans="1:19">
      <c r="A67">
        <f t="shared" si="16"/>
        <v>5</v>
      </c>
      <c r="B67">
        <f t="shared" si="17"/>
        <v>14.5</v>
      </c>
      <c r="C67">
        <f t="shared" si="18"/>
        <v>89</v>
      </c>
      <c r="E67">
        <f t="shared" si="19"/>
        <v>10</v>
      </c>
      <c r="F67">
        <f t="shared" si="20"/>
        <v>12.25</v>
      </c>
      <c r="G67">
        <f t="shared" si="21"/>
        <v>89.5</v>
      </c>
      <c r="I67">
        <f t="shared" si="22"/>
        <v>25</v>
      </c>
      <c r="J67">
        <f t="shared" si="23"/>
        <v>10.9</v>
      </c>
      <c r="K67">
        <f t="shared" si="24"/>
        <v>89.8</v>
      </c>
      <c r="M67">
        <f>M66</f>
        <v>28</v>
      </c>
      <c r="N67">
        <f>(2*B$16+8*B$17)/10</f>
        <v>34.58</v>
      </c>
      <c r="O67">
        <f>(2*C$16+8*C$17)/10</f>
        <v>68.42</v>
      </c>
      <c r="Q67">
        <f t="shared" si="4"/>
        <v>5</v>
      </c>
      <c r="R67">
        <f t="shared" si="5"/>
        <v>14.5</v>
      </c>
      <c r="S67">
        <f t="shared" si="6"/>
        <v>89</v>
      </c>
    </row>
    <row r="68" spans="1:19">
      <c r="A68">
        <f t="shared" si="16"/>
        <v>5</v>
      </c>
      <c r="B68">
        <f t="shared" si="17"/>
        <v>14.5</v>
      </c>
      <c r="C68">
        <f t="shared" si="18"/>
        <v>89</v>
      </c>
      <c r="E68">
        <f t="shared" si="19"/>
        <v>10</v>
      </c>
      <c r="F68">
        <f t="shared" si="20"/>
        <v>12.25</v>
      </c>
      <c r="G68">
        <f t="shared" si="21"/>
        <v>89.5</v>
      </c>
      <c r="I68">
        <f t="shared" si="22"/>
        <v>25</v>
      </c>
      <c r="J68">
        <f t="shared" si="23"/>
        <v>10.9</v>
      </c>
      <c r="K68">
        <f t="shared" si="24"/>
        <v>89.8</v>
      </c>
      <c r="M68">
        <f>M66+1</f>
        <v>29</v>
      </c>
      <c r="N68">
        <f>(2*B$16+8*B$17)/10</f>
        <v>34.58</v>
      </c>
      <c r="O68">
        <f>(2*C$16+8*C$17)/10</f>
        <v>68.42</v>
      </c>
      <c r="Q68">
        <f t="shared" si="4"/>
        <v>5</v>
      </c>
      <c r="R68">
        <f t="shared" si="5"/>
        <v>14.5</v>
      </c>
      <c r="S68">
        <f t="shared" si="6"/>
        <v>89</v>
      </c>
    </row>
    <row r="69" spans="1:19">
      <c r="A69">
        <f t="shared" si="16"/>
        <v>5</v>
      </c>
      <c r="B69">
        <f t="shared" si="17"/>
        <v>14.5</v>
      </c>
      <c r="C69">
        <f t="shared" si="18"/>
        <v>89</v>
      </c>
      <c r="E69">
        <f t="shared" si="19"/>
        <v>10</v>
      </c>
      <c r="F69">
        <f t="shared" si="20"/>
        <v>12.25</v>
      </c>
      <c r="G69">
        <f t="shared" si="21"/>
        <v>89.5</v>
      </c>
      <c r="I69">
        <f t="shared" si="22"/>
        <v>25</v>
      </c>
      <c r="J69">
        <f t="shared" si="23"/>
        <v>10.9</v>
      </c>
      <c r="K69">
        <f t="shared" si="24"/>
        <v>89.8</v>
      </c>
      <c r="M69">
        <f>M68</f>
        <v>29</v>
      </c>
      <c r="N69">
        <f>(1*B$16+9*B$17)/10</f>
        <v>32.79</v>
      </c>
      <c r="O69">
        <f>(1*C$16+9*C$17)/10</f>
        <v>69.460000000000008</v>
      </c>
      <c r="Q69">
        <f t="shared" si="4"/>
        <v>5</v>
      </c>
      <c r="R69">
        <f t="shared" si="5"/>
        <v>14.5</v>
      </c>
      <c r="S69">
        <f t="shared" si="6"/>
        <v>89</v>
      </c>
    </row>
    <row r="70" spans="1:19">
      <c r="A70">
        <f t="shared" si="16"/>
        <v>5</v>
      </c>
      <c r="B70">
        <f t="shared" si="17"/>
        <v>14.5</v>
      </c>
      <c r="C70">
        <f t="shared" si="18"/>
        <v>89</v>
      </c>
      <c r="E70">
        <f t="shared" si="19"/>
        <v>10</v>
      </c>
      <c r="F70">
        <f t="shared" si="20"/>
        <v>12.25</v>
      </c>
      <c r="G70">
        <f t="shared" si="21"/>
        <v>89.5</v>
      </c>
      <c r="I70">
        <f t="shared" si="22"/>
        <v>25</v>
      </c>
      <c r="J70">
        <f t="shared" si="23"/>
        <v>10.9</v>
      </c>
      <c r="K70">
        <f t="shared" si="24"/>
        <v>89.8</v>
      </c>
      <c r="M70">
        <f>M68+1</f>
        <v>30</v>
      </c>
      <c r="N70">
        <f>(1*B$16+9*B$17)/10</f>
        <v>32.79</v>
      </c>
      <c r="O70">
        <f>(1*C$16+9*C$17)/10</f>
        <v>69.460000000000008</v>
      </c>
      <c r="Q70">
        <f t="shared" si="4"/>
        <v>5</v>
      </c>
      <c r="R70">
        <f t="shared" si="5"/>
        <v>14.5</v>
      </c>
      <c r="S70">
        <f t="shared" si="6"/>
        <v>89</v>
      </c>
    </row>
    <row r="71" spans="1:19">
      <c r="A71">
        <f t="shared" si="16"/>
        <v>5</v>
      </c>
      <c r="B71">
        <f t="shared" si="17"/>
        <v>14.5</v>
      </c>
      <c r="C71">
        <f t="shared" si="18"/>
        <v>89</v>
      </c>
      <c r="E71">
        <f t="shared" si="19"/>
        <v>10</v>
      </c>
      <c r="F71">
        <f t="shared" si="20"/>
        <v>12.25</v>
      </c>
      <c r="G71">
        <f t="shared" si="21"/>
        <v>89.5</v>
      </c>
      <c r="I71">
        <f t="shared" si="22"/>
        <v>25</v>
      </c>
      <c r="J71">
        <f t="shared" si="23"/>
        <v>10.9</v>
      </c>
      <c r="K71">
        <f t="shared" si="24"/>
        <v>89.8</v>
      </c>
      <c r="M71">
        <f>M70</f>
        <v>30</v>
      </c>
      <c r="N71">
        <f>(10*B$18+0*B$18)/10</f>
        <v>31</v>
      </c>
      <c r="O71">
        <f>(10*C$18+0*C$18)/10</f>
        <v>70.5</v>
      </c>
      <c r="Q71">
        <f t="shared" si="4"/>
        <v>5</v>
      </c>
      <c r="R71">
        <f t="shared" si="5"/>
        <v>14.5</v>
      </c>
      <c r="S71">
        <f t="shared" si="6"/>
        <v>89</v>
      </c>
    </row>
    <row r="72" spans="1:19">
      <c r="A72">
        <f t="shared" si="16"/>
        <v>5</v>
      </c>
      <c r="B72">
        <f t="shared" si="17"/>
        <v>14.5</v>
      </c>
      <c r="C72">
        <f t="shared" si="18"/>
        <v>89</v>
      </c>
      <c r="E72">
        <f t="shared" si="19"/>
        <v>10</v>
      </c>
      <c r="F72">
        <f t="shared" si="20"/>
        <v>12.25</v>
      </c>
      <c r="G72">
        <f t="shared" si="21"/>
        <v>89.5</v>
      </c>
      <c r="I72">
        <f t="shared" si="22"/>
        <v>25</v>
      </c>
      <c r="J72">
        <f t="shared" si="23"/>
        <v>10.9</v>
      </c>
      <c r="K72">
        <f t="shared" si="24"/>
        <v>89.8</v>
      </c>
      <c r="M72">
        <f>M70+1</f>
        <v>31</v>
      </c>
      <c r="N72">
        <f>(10*B$18+0*B$19)/10</f>
        <v>31</v>
      </c>
      <c r="O72">
        <f>(10*C$18+0*C$19)/10</f>
        <v>70.5</v>
      </c>
      <c r="Q72">
        <f t="shared" si="4"/>
        <v>5</v>
      </c>
      <c r="R72">
        <f t="shared" si="5"/>
        <v>14.5</v>
      </c>
      <c r="S72">
        <f t="shared" si="6"/>
        <v>89</v>
      </c>
    </row>
    <row r="73" spans="1:19">
      <c r="A73">
        <f t="shared" si="16"/>
        <v>5</v>
      </c>
      <c r="B73">
        <f t="shared" si="17"/>
        <v>14.5</v>
      </c>
      <c r="C73">
        <f t="shared" si="18"/>
        <v>89</v>
      </c>
      <c r="E73">
        <f t="shared" si="19"/>
        <v>10</v>
      </c>
      <c r="F73">
        <f t="shared" si="20"/>
        <v>12.25</v>
      </c>
      <c r="G73">
        <f t="shared" si="21"/>
        <v>89.5</v>
      </c>
      <c r="I73">
        <f t="shared" si="22"/>
        <v>25</v>
      </c>
      <c r="J73">
        <f t="shared" si="23"/>
        <v>10.9</v>
      </c>
      <c r="K73">
        <f t="shared" si="24"/>
        <v>89.8</v>
      </c>
      <c r="M73">
        <f>M72</f>
        <v>31</v>
      </c>
      <c r="N73">
        <f>(9*B$18+1*B$19)/10</f>
        <v>29.35</v>
      </c>
      <c r="O73">
        <f>(9*C$18+1*C$19)/10</f>
        <v>72.349999999999994</v>
      </c>
      <c r="Q73">
        <f t="shared" si="4"/>
        <v>5</v>
      </c>
      <c r="R73">
        <f t="shared" si="5"/>
        <v>14.5</v>
      </c>
      <c r="S73">
        <f t="shared" si="6"/>
        <v>89</v>
      </c>
    </row>
    <row r="74" spans="1:19">
      <c r="A74">
        <f t="shared" si="16"/>
        <v>5</v>
      </c>
      <c r="B74">
        <f t="shared" si="17"/>
        <v>14.5</v>
      </c>
      <c r="C74">
        <f t="shared" si="18"/>
        <v>89</v>
      </c>
      <c r="E74">
        <f t="shared" si="19"/>
        <v>10</v>
      </c>
      <c r="F74">
        <f t="shared" si="20"/>
        <v>12.25</v>
      </c>
      <c r="G74">
        <f t="shared" si="21"/>
        <v>89.5</v>
      </c>
      <c r="I74">
        <f t="shared" si="22"/>
        <v>25</v>
      </c>
      <c r="J74">
        <f t="shared" si="23"/>
        <v>10.9</v>
      </c>
      <c r="K74">
        <f t="shared" si="24"/>
        <v>89.8</v>
      </c>
      <c r="M74">
        <f>M72+1</f>
        <v>32</v>
      </c>
      <c r="N74">
        <f>(9*B$18+1*B$19)/10</f>
        <v>29.35</v>
      </c>
      <c r="O74">
        <f>(9*C$18+1*C$19)/10</f>
        <v>72.349999999999994</v>
      </c>
      <c r="Q74">
        <f t="shared" si="4"/>
        <v>5</v>
      </c>
      <c r="R74">
        <f t="shared" si="5"/>
        <v>14.5</v>
      </c>
      <c r="S74">
        <f t="shared" si="6"/>
        <v>89</v>
      </c>
    </row>
    <row r="75" spans="1:19">
      <c r="A75">
        <f t="shared" si="16"/>
        <v>5</v>
      </c>
      <c r="B75">
        <f t="shared" si="17"/>
        <v>14.5</v>
      </c>
      <c r="C75">
        <f t="shared" si="18"/>
        <v>89</v>
      </c>
      <c r="E75">
        <f t="shared" si="19"/>
        <v>10</v>
      </c>
      <c r="F75">
        <f t="shared" si="20"/>
        <v>12.25</v>
      </c>
      <c r="G75">
        <f t="shared" si="21"/>
        <v>89.5</v>
      </c>
      <c r="I75">
        <f t="shared" si="22"/>
        <v>25</v>
      </c>
      <c r="J75">
        <f t="shared" si="23"/>
        <v>10.9</v>
      </c>
      <c r="K75">
        <f t="shared" si="24"/>
        <v>89.8</v>
      </c>
      <c r="M75">
        <f>M74</f>
        <v>32</v>
      </c>
      <c r="N75">
        <f>(8*B$18+2*B$19)/10</f>
        <v>27.7</v>
      </c>
      <c r="O75">
        <f>(8*C$18+2*C$19)/10</f>
        <v>74.2</v>
      </c>
      <c r="Q75">
        <f t="shared" si="4"/>
        <v>5</v>
      </c>
      <c r="R75">
        <f t="shared" si="5"/>
        <v>14.5</v>
      </c>
      <c r="S75">
        <f t="shared" si="6"/>
        <v>89</v>
      </c>
    </row>
    <row r="76" spans="1:19">
      <c r="A76">
        <f t="shared" si="16"/>
        <v>5</v>
      </c>
      <c r="B76">
        <f t="shared" si="17"/>
        <v>14.5</v>
      </c>
      <c r="C76">
        <f t="shared" si="18"/>
        <v>89</v>
      </c>
      <c r="E76">
        <f t="shared" si="19"/>
        <v>10</v>
      </c>
      <c r="F76">
        <f t="shared" si="20"/>
        <v>12.25</v>
      </c>
      <c r="G76">
        <f t="shared" si="21"/>
        <v>89.5</v>
      </c>
      <c r="I76">
        <f t="shared" si="22"/>
        <v>25</v>
      </c>
      <c r="J76">
        <f t="shared" si="23"/>
        <v>10.9</v>
      </c>
      <c r="K76">
        <f t="shared" si="24"/>
        <v>89.8</v>
      </c>
      <c r="M76">
        <f>M74+1</f>
        <v>33</v>
      </c>
      <c r="N76">
        <f>(8*B$18+2*B$19)/10</f>
        <v>27.7</v>
      </c>
      <c r="O76">
        <f>(8*C$18+2*C$19)/10</f>
        <v>74.2</v>
      </c>
      <c r="Q76">
        <f t="shared" si="4"/>
        <v>5</v>
      </c>
      <c r="R76">
        <f t="shared" si="5"/>
        <v>14.5</v>
      </c>
      <c r="S76">
        <f t="shared" si="6"/>
        <v>89</v>
      </c>
    </row>
    <row r="77" spans="1:19">
      <c r="A77">
        <f t="shared" si="16"/>
        <v>5</v>
      </c>
      <c r="B77">
        <f t="shared" si="17"/>
        <v>14.5</v>
      </c>
      <c r="C77">
        <f t="shared" si="18"/>
        <v>89</v>
      </c>
      <c r="E77">
        <f t="shared" si="19"/>
        <v>10</v>
      </c>
      <c r="F77">
        <f t="shared" si="20"/>
        <v>12.25</v>
      </c>
      <c r="G77">
        <f t="shared" si="21"/>
        <v>89.5</v>
      </c>
      <c r="I77">
        <f t="shared" si="22"/>
        <v>25</v>
      </c>
      <c r="J77">
        <f t="shared" si="23"/>
        <v>10.9</v>
      </c>
      <c r="K77">
        <f t="shared" si="24"/>
        <v>89.8</v>
      </c>
      <c r="M77">
        <f>M76</f>
        <v>33</v>
      </c>
      <c r="N77">
        <f>(7*B$18+3*B$19)/10</f>
        <v>26.05</v>
      </c>
      <c r="O77">
        <f>(7*C$18+3*C$19)/10</f>
        <v>76.05</v>
      </c>
      <c r="Q77">
        <f t="shared" ref="Q77:Q110" si="25">IF($O$1=1,A77,IF($O$1=2,E77,IF($O$1=3,I77,M77)))</f>
        <v>5</v>
      </c>
      <c r="R77">
        <f t="shared" ref="R77:R110" si="26">IF($O$1=1,B77,IF($O$1=2,F77,IF($O$1=3,J77,N77)))</f>
        <v>14.5</v>
      </c>
      <c r="S77">
        <f t="shared" ref="S77:S110" si="27">IF($O$1=1,C77,IF($O$1=2,G77,IF($O$1=3,K77,O77)))</f>
        <v>89</v>
      </c>
    </row>
    <row r="78" spans="1:19">
      <c r="A78">
        <f t="shared" si="16"/>
        <v>5</v>
      </c>
      <c r="B78">
        <f t="shared" si="17"/>
        <v>14.5</v>
      </c>
      <c r="C78">
        <f t="shared" si="18"/>
        <v>89</v>
      </c>
      <c r="E78">
        <f t="shared" si="19"/>
        <v>10</v>
      </c>
      <c r="F78">
        <f t="shared" si="20"/>
        <v>12.25</v>
      </c>
      <c r="G78">
        <f t="shared" si="21"/>
        <v>89.5</v>
      </c>
      <c r="I78">
        <f t="shared" si="22"/>
        <v>25</v>
      </c>
      <c r="J78">
        <f t="shared" si="23"/>
        <v>10.9</v>
      </c>
      <c r="K78">
        <f t="shared" si="24"/>
        <v>89.8</v>
      </c>
      <c r="M78">
        <f>M76+1</f>
        <v>34</v>
      </c>
      <c r="N78">
        <f>(7*B$18+3*B$19)/10</f>
        <v>26.05</v>
      </c>
      <c r="O78">
        <f>(7*C$18+3*C$19)/10</f>
        <v>76.05</v>
      </c>
      <c r="Q78">
        <f t="shared" si="25"/>
        <v>5</v>
      </c>
      <c r="R78">
        <f t="shared" si="26"/>
        <v>14.5</v>
      </c>
      <c r="S78">
        <f t="shared" si="27"/>
        <v>89</v>
      </c>
    </row>
    <row r="79" spans="1:19">
      <c r="A79">
        <f t="shared" si="16"/>
        <v>5</v>
      </c>
      <c r="B79">
        <f t="shared" si="17"/>
        <v>14.5</v>
      </c>
      <c r="C79">
        <f t="shared" si="18"/>
        <v>89</v>
      </c>
      <c r="E79">
        <f t="shared" si="19"/>
        <v>10</v>
      </c>
      <c r="F79">
        <f t="shared" si="20"/>
        <v>12.25</v>
      </c>
      <c r="G79">
        <f t="shared" si="21"/>
        <v>89.5</v>
      </c>
      <c r="I79">
        <f t="shared" si="22"/>
        <v>25</v>
      </c>
      <c r="J79">
        <f t="shared" si="23"/>
        <v>10.9</v>
      </c>
      <c r="K79">
        <f t="shared" si="24"/>
        <v>89.8</v>
      </c>
      <c r="M79">
        <f>M78</f>
        <v>34</v>
      </c>
      <c r="N79">
        <f>(6*B$18+4*B$19)/10</f>
        <v>24.4</v>
      </c>
      <c r="O79">
        <f>(6*C$18+4*C$19)/10</f>
        <v>77.900000000000006</v>
      </c>
      <c r="Q79">
        <f t="shared" si="25"/>
        <v>5</v>
      </c>
      <c r="R79">
        <f t="shared" si="26"/>
        <v>14.5</v>
      </c>
      <c r="S79">
        <f t="shared" si="27"/>
        <v>89</v>
      </c>
    </row>
    <row r="80" spans="1:19">
      <c r="A80">
        <f t="shared" si="16"/>
        <v>5</v>
      </c>
      <c r="B80">
        <f t="shared" si="17"/>
        <v>14.5</v>
      </c>
      <c r="C80">
        <f t="shared" si="18"/>
        <v>89</v>
      </c>
      <c r="E80">
        <f t="shared" si="19"/>
        <v>10</v>
      </c>
      <c r="F80">
        <f t="shared" si="20"/>
        <v>12.25</v>
      </c>
      <c r="G80">
        <f t="shared" si="21"/>
        <v>89.5</v>
      </c>
      <c r="I80">
        <f t="shared" si="22"/>
        <v>25</v>
      </c>
      <c r="J80">
        <f t="shared" si="23"/>
        <v>10.9</v>
      </c>
      <c r="K80">
        <f t="shared" si="24"/>
        <v>89.8</v>
      </c>
      <c r="M80">
        <f>M78+1</f>
        <v>35</v>
      </c>
      <c r="N80">
        <f>(6*B$18+4*B$19)/10</f>
        <v>24.4</v>
      </c>
      <c r="O80">
        <f>(6*C$18+4*C$19)/10</f>
        <v>77.900000000000006</v>
      </c>
      <c r="Q80">
        <f t="shared" si="25"/>
        <v>5</v>
      </c>
      <c r="R80">
        <f t="shared" si="26"/>
        <v>14.5</v>
      </c>
      <c r="S80">
        <f t="shared" si="27"/>
        <v>89</v>
      </c>
    </row>
    <row r="81" spans="1:19">
      <c r="A81">
        <f t="shared" si="16"/>
        <v>5</v>
      </c>
      <c r="B81">
        <f t="shared" si="17"/>
        <v>14.5</v>
      </c>
      <c r="C81">
        <f t="shared" si="18"/>
        <v>89</v>
      </c>
      <c r="E81">
        <f t="shared" si="19"/>
        <v>10</v>
      </c>
      <c r="F81">
        <f t="shared" si="20"/>
        <v>12.25</v>
      </c>
      <c r="G81">
        <f t="shared" si="21"/>
        <v>89.5</v>
      </c>
      <c r="I81">
        <f t="shared" si="22"/>
        <v>25</v>
      </c>
      <c r="J81">
        <f t="shared" si="23"/>
        <v>10.9</v>
      </c>
      <c r="K81">
        <f t="shared" si="24"/>
        <v>89.8</v>
      </c>
      <c r="M81">
        <f>M80</f>
        <v>35</v>
      </c>
      <c r="N81">
        <f>(5*B$18+5*B$19)/10</f>
        <v>22.75</v>
      </c>
      <c r="O81">
        <f>(5*C$18+5*C$19)/10</f>
        <v>79.75</v>
      </c>
      <c r="Q81">
        <f t="shared" si="25"/>
        <v>5</v>
      </c>
      <c r="R81">
        <f t="shared" si="26"/>
        <v>14.5</v>
      </c>
      <c r="S81">
        <f t="shared" si="27"/>
        <v>89</v>
      </c>
    </row>
    <row r="82" spans="1:19">
      <c r="A82">
        <f t="shared" si="16"/>
        <v>5</v>
      </c>
      <c r="B82">
        <f t="shared" si="17"/>
        <v>14.5</v>
      </c>
      <c r="C82">
        <f t="shared" si="18"/>
        <v>89</v>
      </c>
      <c r="E82">
        <f t="shared" si="19"/>
        <v>10</v>
      </c>
      <c r="F82">
        <f t="shared" si="20"/>
        <v>12.25</v>
      </c>
      <c r="G82">
        <f t="shared" si="21"/>
        <v>89.5</v>
      </c>
      <c r="I82">
        <f t="shared" si="22"/>
        <v>25</v>
      </c>
      <c r="J82">
        <f t="shared" si="23"/>
        <v>10.9</v>
      </c>
      <c r="K82">
        <f t="shared" si="24"/>
        <v>89.8</v>
      </c>
      <c r="M82">
        <f>M80+1</f>
        <v>36</v>
      </c>
      <c r="N82">
        <f>(5*B$18+5*B$19)/10</f>
        <v>22.75</v>
      </c>
      <c r="O82">
        <f>(5*C$18+5*C$19)/10</f>
        <v>79.75</v>
      </c>
      <c r="Q82">
        <f t="shared" si="25"/>
        <v>5</v>
      </c>
      <c r="R82">
        <f t="shared" si="26"/>
        <v>14.5</v>
      </c>
      <c r="S82">
        <f t="shared" si="27"/>
        <v>89</v>
      </c>
    </row>
    <row r="83" spans="1:19">
      <c r="A83">
        <f t="shared" si="16"/>
        <v>5</v>
      </c>
      <c r="B83">
        <f t="shared" si="17"/>
        <v>14.5</v>
      </c>
      <c r="C83">
        <f t="shared" si="18"/>
        <v>89</v>
      </c>
      <c r="E83">
        <f t="shared" si="19"/>
        <v>10</v>
      </c>
      <c r="F83">
        <f t="shared" si="20"/>
        <v>12.25</v>
      </c>
      <c r="G83">
        <f t="shared" si="21"/>
        <v>89.5</v>
      </c>
      <c r="I83">
        <f t="shared" si="22"/>
        <v>25</v>
      </c>
      <c r="J83">
        <f t="shared" si="23"/>
        <v>10.9</v>
      </c>
      <c r="K83">
        <f t="shared" si="24"/>
        <v>89.8</v>
      </c>
      <c r="M83">
        <f>M82</f>
        <v>36</v>
      </c>
      <c r="N83">
        <f>(4*B$18+6*B$19)/10</f>
        <v>21.1</v>
      </c>
      <c r="O83">
        <f>(4*C$18+6*C$19)/10</f>
        <v>81.599999999999994</v>
      </c>
      <c r="Q83">
        <f t="shared" si="25"/>
        <v>5</v>
      </c>
      <c r="R83">
        <f t="shared" si="26"/>
        <v>14.5</v>
      </c>
      <c r="S83">
        <f t="shared" si="27"/>
        <v>89</v>
      </c>
    </row>
    <row r="84" spans="1:19">
      <c r="A84">
        <f t="shared" si="16"/>
        <v>5</v>
      </c>
      <c r="B84">
        <f t="shared" si="17"/>
        <v>14.5</v>
      </c>
      <c r="C84">
        <f t="shared" si="18"/>
        <v>89</v>
      </c>
      <c r="E84">
        <f t="shared" si="19"/>
        <v>10</v>
      </c>
      <c r="F84">
        <f t="shared" si="20"/>
        <v>12.25</v>
      </c>
      <c r="G84">
        <f t="shared" si="21"/>
        <v>89.5</v>
      </c>
      <c r="I84">
        <f t="shared" si="22"/>
        <v>25</v>
      </c>
      <c r="J84">
        <f t="shared" si="23"/>
        <v>10.9</v>
      </c>
      <c r="K84">
        <f t="shared" si="24"/>
        <v>89.8</v>
      </c>
      <c r="M84">
        <f>M82+1</f>
        <v>37</v>
      </c>
      <c r="N84">
        <f>(4*B$18+6*B$19)/10</f>
        <v>21.1</v>
      </c>
      <c r="O84">
        <f>(4*C$18+6*C$19)/10</f>
        <v>81.599999999999994</v>
      </c>
      <c r="Q84">
        <f t="shared" si="25"/>
        <v>5</v>
      </c>
      <c r="R84">
        <f t="shared" si="26"/>
        <v>14.5</v>
      </c>
      <c r="S84">
        <f t="shared" si="27"/>
        <v>89</v>
      </c>
    </row>
    <row r="85" spans="1:19">
      <c r="A85">
        <f t="shared" si="16"/>
        <v>5</v>
      </c>
      <c r="B85">
        <f t="shared" si="17"/>
        <v>14.5</v>
      </c>
      <c r="C85">
        <f t="shared" si="18"/>
        <v>89</v>
      </c>
      <c r="E85">
        <f t="shared" si="19"/>
        <v>10</v>
      </c>
      <c r="F85">
        <f t="shared" si="20"/>
        <v>12.25</v>
      </c>
      <c r="G85">
        <f t="shared" si="21"/>
        <v>89.5</v>
      </c>
      <c r="I85">
        <f t="shared" si="22"/>
        <v>25</v>
      </c>
      <c r="J85">
        <f t="shared" si="23"/>
        <v>10.9</v>
      </c>
      <c r="K85">
        <f t="shared" si="24"/>
        <v>89.8</v>
      </c>
      <c r="M85">
        <f>M84</f>
        <v>37</v>
      </c>
      <c r="N85">
        <f>(3*B$18+7*B$19)/10</f>
        <v>19.45</v>
      </c>
      <c r="O85">
        <f>(3*C$18+7*C$19)/10</f>
        <v>83.45</v>
      </c>
      <c r="Q85">
        <f t="shared" si="25"/>
        <v>5</v>
      </c>
      <c r="R85">
        <f t="shared" si="26"/>
        <v>14.5</v>
      </c>
      <c r="S85">
        <f t="shared" si="27"/>
        <v>89</v>
      </c>
    </row>
    <row r="86" spans="1:19">
      <c r="A86">
        <f t="shared" si="16"/>
        <v>5</v>
      </c>
      <c r="B86">
        <f t="shared" si="17"/>
        <v>14.5</v>
      </c>
      <c r="C86">
        <f t="shared" si="18"/>
        <v>89</v>
      </c>
      <c r="E86">
        <f t="shared" si="19"/>
        <v>10</v>
      </c>
      <c r="F86">
        <f t="shared" si="20"/>
        <v>12.25</v>
      </c>
      <c r="G86">
        <f t="shared" si="21"/>
        <v>89.5</v>
      </c>
      <c r="I86">
        <f t="shared" si="22"/>
        <v>25</v>
      </c>
      <c r="J86">
        <f t="shared" si="23"/>
        <v>10.9</v>
      </c>
      <c r="K86">
        <f t="shared" si="24"/>
        <v>89.8</v>
      </c>
      <c r="M86">
        <f>M84+1</f>
        <v>38</v>
      </c>
      <c r="N86">
        <f>(3*B$18+7*B$19)/10</f>
        <v>19.45</v>
      </c>
      <c r="O86">
        <f>(3*C$18+7*C$19)/10</f>
        <v>83.45</v>
      </c>
      <c r="Q86">
        <f t="shared" si="25"/>
        <v>5</v>
      </c>
      <c r="R86">
        <f t="shared" si="26"/>
        <v>14.5</v>
      </c>
      <c r="S86">
        <f t="shared" si="27"/>
        <v>89</v>
      </c>
    </row>
    <row r="87" spans="1:19">
      <c r="A87">
        <f t="shared" si="16"/>
        <v>5</v>
      </c>
      <c r="B87">
        <f t="shared" si="17"/>
        <v>14.5</v>
      </c>
      <c r="C87">
        <f t="shared" si="18"/>
        <v>89</v>
      </c>
      <c r="E87">
        <f t="shared" si="19"/>
        <v>10</v>
      </c>
      <c r="F87">
        <f t="shared" si="20"/>
        <v>12.25</v>
      </c>
      <c r="G87">
        <f t="shared" si="21"/>
        <v>89.5</v>
      </c>
      <c r="I87">
        <f t="shared" si="22"/>
        <v>25</v>
      </c>
      <c r="J87">
        <f t="shared" si="23"/>
        <v>10.9</v>
      </c>
      <c r="K87">
        <f t="shared" si="24"/>
        <v>89.8</v>
      </c>
      <c r="M87">
        <f>M86</f>
        <v>38</v>
      </c>
      <c r="N87">
        <f>(2*B$18+8*B$19)/10</f>
        <v>17.8</v>
      </c>
      <c r="O87">
        <f>(2*C$18+8*C$19)/10</f>
        <v>85.3</v>
      </c>
      <c r="Q87">
        <f t="shared" si="25"/>
        <v>5</v>
      </c>
      <c r="R87">
        <f t="shared" si="26"/>
        <v>14.5</v>
      </c>
      <c r="S87">
        <f t="shared" si="27"/>
        <v>89</v>
      </c>
    </row>
    <row r="88" spans="1:19">
      <c r="A88">
        <f t="shared" si="16"/>
        <v>5</v>
      </c>
      <c r="B88">
        <f t="shared" si="17"/>
        <v>14.5</v>
      </c>
      <c r="C88">
        <f t="shared" si="18"/>
        <v>89</v>
      </c>
      <c r="E88">
        <f t="shared" si="19"/>
        <v>10</v>
      </c>
      <c r="F88">
        <f t="shared" si="20"/>
        <v>12.25</v>
      </c>
      <c r="G88">
        <f t="shared" si="21"/>
        <v>89.5</v>
      </c>
      <c r="I88">
        <f t="shared" si="22"/>
        <v>25</v>
      </c>
      <c r="J88">
        <f t="shared" si="23"/>
        <v>10.9</v>
      </c>
      <c r="K88">
        <f t="shared" si="24"/>
        <v>89.8</v>
      </c>
      <c r="M88">
        <f>M86+1</f>
        <v>39</v>
      </c>
      <c r="N88">
        <f>(2*B$18+8*B$19)/10</f>
        <v>17.8</v>
      </c>
      <c r="O88">
        <f>(2*C$18+8*C$19)/10</f>
        <v>85.3</v>
      </c>
      <c r="Q88">
        <f t="shared" si="25"/>
        <v>5</v>
      </c>
      <c r="R88">
        <f t="shared" si="26"/>
        <v>14.5</v>
      </c>
      <c r="S88">
        <f t="shared" si="27"/>
        <v>89</v>
      </c>
    </row>
    <row r="89" spans="1:19">
      <c r="A89">
        <f t="shared" si="16"/>
        <v>5</v>
      </c>
      <c r="B89">
        <f t="shared" si="17"/>
        <v>14.5</v>
      </c>
      <c r="C89">
        <f t="shared" si="18"/>
        <v>89</v>
      </c>
      <c r="E89">
        <f t="shared" si="19"/>
        <v>10</v>
      </c>
      <c r="F89">
        <f t="shared" si="20"/>
        <v>12.25</v>
      </c>
      <c r="G89">
        <f t="shared" si="21"/>
        <v>89.5</v>
      </c>
      <c r="I89">
        <f t="shared" si="22"/>
        <v>25</v>
      </c>
      <c r="J89">
        <f t="shared" si="23"/>
        <v>10.9</v>
      </c>
      <c r="K89">
        <f t="shared" si="24"/>
        <v>89.8</v>
      </c>
      <c r="M89">
        <f>M88</f>
        <v>39</v>
      </c>
      <c r="N89">
        <f>(1*B$18+9*B$19)/10</f>
        <v>16.149999999999999</v>
      </c>
      <c r="O89">
        <f>(1*C$18+9*C$19)/10</f>
        <v>87.15</v>
      </c>
      <c r="Q89">
        <f t="shared" si="25"/>
        <v>5</v>
      </c>
      <c r="R89">
        <f t="shared" si="26"/>
        <v>14.5</v>
      </c>
      <c r="S89">
        <f t="shared" si="27"/>
        <v>89</v>
      </c>
    </row>
    <row r="90" spans="1:19">
      <c r="A90">
        <f t="shared" si="16"/>
        <v>5</v>
      </c>
      <c r="B90">
        <f t="shared" si="17"/>
        <v>14.5</v>
      </c>
      <c r="C90">
        <f t="shared" si="18"/>
        <v>89</v>
      </c>
      <c r="E90">
        <f t="shared" si="19"/>
        <v>10</v>
      </c>
      <c r="F90">
        <f t="shared" si="20"/>
        <v>12.25</v>
      </c>
      <c r="G90">
        <f t="shared" si="21"/>
        <v>89.5</v>
      </c>
      <c r="I90">
        <f t="shared" si="22"/>
        <v>25</v>
      </c>
      <c r="J90">
        <f t="shared" si="23"/>
        <v>10.9</v>
      </c>
      <c r="K90">
        <f t="shared" si="24"/>
        <v>89.8</v>
      </c>
      <c r="M90">
        <f>M88+1</f>
        <v>40</v>
      </c>
      <c r="N90">
        <f>(1*B$18+9*B$19)/10</f>
        <v>16.149999999999999</v>
      </c>
      <c r="O90">
        <f>(1*C$18+9*C$19)/10</f>
        <v>87.15</v>
      </c>
      <c r="Q90">
        <f t="shared" si="25"/>
        <v>5</v>
      </c>
      <c r="R90">
        <f t="shared" si="26"/>
        <v>14.5</v>
      </c>
      <c r="S90">
        <f t="shared" si="27"/>
        <v>89</v>
      </c>
    </row>
    <row r="91" spans="1:19">
      <c r="A91">
        <f t="shared" si="16"/>
        <v>5</v>
      </c>
      <c r="B91">
        <f t="shared" si="17"/>
        <v>14.5</v>
      </c>
      <c r="C91">
        <f t="shared" si="18"/>
        <v>89</v>
      </c>
      <c r="E91">
        <f t="shared" si="19"/>
        <v>10</v>
      </c>
      <c r="F91">
        <f t="shared" si="20"/>
        <v>12.25</v>
      </c>
      <c r="G91">
        <f t="shared" si="21"/>
        <v>89.5</v>
      </c>
      <c r="I91">
        <f t="shared" si="22"/>
        <v>25</v>
      </c>
      <c r="J91">
        <f t="shared" si="23"/>
        <v>10.9</v>
      </c>
      <c r="K91">
        <f t="shared" si="24"/>
        <v>89.8</v>
      </c>
      <c r="M91">
        <f>M90</f>
        <v>40</v>
      </c>
      <c r="N91">
        <f>(10*B$20+0*10)/10</f>
        <v>14.5</v>
      </c>
      <c r="O91">
        <f>(10*C$20+0*90)/10</f>
        <v>89</v>
      </c>
      <c r="Q91">
        <f t="shared" si="25"/>
        <v>5</v>
      </c>
      <c r="R91">
        <f t="shared" si="26"/>
        <v>14.5</v>
      </c>
      <c r="S91">
        <f t="shared" si="27"/>
        <v>89</v>
      </c>
    </row>
    <row r="92" spans="1:19">
      <c r="A92">
        <f t="shared" si="16"/>
        <v>5</v>
      </c>
      <c r="B92">
        <f t="shared" si="17"/>
        <v>14.5</v>
      </c>
      <c r="C92">
        <f t="shared" si="18"/>
        <v>89</v>
      </c>
      <c r="E92">
        <f t="shared" si="19"/>
        <v>10</v>
      </c>
      <c r="F92">
        <f t="shared" si="20"/>
        <v>12.25</v>
      </c>
      <c r="G92">
        <f t="shared" si="21"/>
        <v>89.5</v>
      </c>
      <c r="I92">
        <f t="shared" si="22"/>
        <v>25</v>
      </c>
      <c r="J92">
        <f t="shared" si="23"/>
        <v>10.9</v>
      </c>
      <c r="K92">
        <f t="shared" si="24"/>
        <v>89.8</v>
      </c>
      <c r="M92">
        <f>M90+1</f>
        <v>41</v>
      </c>
      <c r="N92">
        <f>(10*B$20+0*10)/10</f>
        <v>14.5</v>
      </c>
      <c r="O92">
        <f>(10*C$20+0*90)/10</f>
        <v>89</v>
      </c>
      <c r="Q92">
        <f t="shared" si="25"/>
        <v>5</v>
      </c>
      <c r="R92">
        <f t="shared" si="26"/>
        <v>14.5</v>
      </c>
      <c r="S92">
        <f t="shared" si="27"/>
        <v>89</v>
      </c>
    </row>
    <row r="93" spans="1:19">
      <c r="A93">
        <f t="shared" si="16"/>
        <v>5</v>
      </c>
      <c r="B93">
        <f t="shared" si="17"/>
        <v>14.5</v>
      </c>
      <c r="C93">
        <f t="shared" si="18"/>
        <v>89</v>
      </c>
      <c r="E93">
        <f t="shared" si="19"/>
        <v>10</v>
      </c>
      <c r="F93">
        <f t="shared" si="20"/>
        <v>12.25</v>
      </c>
      <c r="G93">
        <f t="shared" si="21"/>
        <v>89.5</v>
      </c>
      <c r="I93">
        <f t="shared" si="22"/>
        <v>25</v>
      </c>
      <c r="J93">
        <f t="shared" si="23"/>
        <v>10.9</v>
      </c>
      <c r="K93">
        <f t="shared" si="24"/>
        <v>89.8</v>
      </c>
      <c r="M93">
        <f>M92</f>
        <v>41</v>
      </c>
      <c r="N93">
        <f>(9*B$20+1*10)/10</f>
        <v>14.05</v>
      </c>
      <c r="O93">
        <f>(9*C$20+1*90)/10</f>
        <v>89.1</v>
      </c>
      <c r="Q93">
        <f t="shared" si="25"/>
        <v>5</v>
      </c>
      <c r="R93">
        <f t="shared" si="26"/>
        <v>14.5</v>
      </c>
      <c r="S93">
        <f t="shared" si="27"/>
        <v>89</v>
      </c>
    </row>
    <row r="94" spans="1:19">
      <c r="A94">
        <f t="shared" si="16"/>
        <v>5</v>
      </c>
      <c r="B94">
        <f t="shared" si="17"/>
        <v>14.5</v>
      </c>
      <c r="C94">
        <f t="shared" si="18"/>
        <v>89</v>
      </c>
      <c r="E94">
        <f t="shared" si="19"/>
        <v>10</v>
      </c>
      <c r="F94">
        <f t="shared" si="20"/>
        <v>12.25</v>
      </c>
      <c r="G94">
        <f t="shared" si="21"/>
        <v>89.5</v>
      </c>
      <c r="I94">
        <f t="shared" si="22"/>
        <v>25</v>
      </c>
      <c r="J94">
        <f t="shared" si="23"/>
        <v>10.9</v>
      </c>
      <c r="K94">
        <f t="shared" si="24"/>
        <v>89.8</v>
      </c>
      <c r="M94">
        <f>M92+1</f>
        <v>42</v>
      </c>
      <c r="N94">
        <f>(9*B$20+1*10)/10</f>
        <v>14.05</v>
      </c>
      <c r="O94">
        <f>(9*C$20+1*90)/10</f>
        <v>89.1</v>
      </c>
      <c r="Q94">
        <f t="shared" si="25"/>
        <v>5</v>
      </c>
      <c r="R94">
        <f t="shared" si="26"/>
        <v>14.5</v>
      </c>
      <c r="S94">
        <f t="shared" si="27"/>
        <v>89</v>
      </c>
    </row>
    <row r="95" spans="1:19">
      <c r="A95">
        <f t="shared" si="16"/>
        <v>5</v>
      </c>
      <c r="B95">
        <f t="shared" si="17"/>
        <v>14.5</v>
      </c>
      <c r="C95">
        <f t="shared" si="18"/>
        <v>89</v>
      </c>
      <c r="E95">
        <f t="shared" si="19"/>
        <v>10</v>
      </c>
      <c r="F95">
        <f t="shared" si="20"/>
        <v>12.25</v>
      </c>
      <c r="G95">
        <f t="shared" si="21"/>
        <v>89.5</v>
      </c>
      <c r="I95">
        <f t="shared" si="22"/>
        <v>25</v>
      </c>
      <c r="J95">
        <f t="shared" si="23"/>
        <v>10.9</v>
      </c>
      <c r="K95">
        <f t="shared" si="24"/>
        <v>89.8</v>
      </c>
      <c r="M95">
        <f>M94</f>
        <v>42</v>
      </c>
      <c r="N95">
        <f>(8*B$20+2*10)/10</f>
        <v>13.6</v>
      </c>
      <c r="O95">
        <f>(8*C$20+2*90)/10</f>
        <v>89.2</v>
      </c>
      <c r="Q95">
        <f t="shared" si="25"/>
        <v>5</v>
      </c>
      <c r="R95">
        <f t="shared" si="26"/>
        <v>14.5</v>
      </c>
      <c r="S95">
        <f t="shared" si="27"/>
        <v>89</v>
      </c>
    </row>
    <row r="96" spans="1:19">
      <c r="A96">
        <f t="shared" si="16"/>
        <v>5</v>
      </c>
      <c r="B96">
        <f t="shared" si="17"/>
        <v>14.5</v>
      </c>
      <c r="C96">
        <f t="shared" si="18"/>
        <v>89</v>
      </c>
      <c r="E96">
        <f t="shared" si="19"/>
        <v>10</v>
      </c>
      <c r="F96">
        <f t="shared" si="20"/>
        <v>12.25</v>
      </c>
      <c r="G96">
        <f t="shared" si="21"/>
        <v>89.5</v>
      </c>
      <c r="I96">
        <f t="shared" si="22"/>
        <v>25</v>
      </c>
      <c r="J96">
        <f t="shared" si="23"/>
        <v>10.9</v>
      </c>
      <c r="K96">
        <f t="shared" si="24"/>
        <v>89.8</v>
      </c>
      <c r="M96">
        <f>M94+1</f>
        <v>43</v>
      </c>
      <c r="N96">
        <f>(8*B$20+2*10)/10</f>
        <v>13.6</v>
      </c>
      <c r="O96">
        <f>(8*C$20+2*90)/10</f>
        <v>89.2</v>
      </c>
      <c r="Q96">
        <f t="shared" si="25"/>
        <v>5</v>
      </c>
      <c r="R96">
        <f t="shared" si="26"/>
        <v>14.5</v>
      </c>
      <c r="S96">
        <f t="shared" si="27"/>
        <v>89</v>
      </c>
    </row>
    <row r="97" spans="1:19">
      <c r="A97">
        <f t="shared" si="16"/>
        <v>5</v>
      </c>
      <c r="B97">
        <f t="shared" si="17"/>
        <v>14.5</v>
      </c>
      <c r="C97">
        <f t="shared" si="18"/>
        <v>89</v>
      </c>
      <c r="E97">
        <f t="shared" si="19"/>
        <v>10</v>
      </c>
      <c r="F97">
        <f t="shared" si="20"/>
        <v>12.25</v>
      </c>
      <c r="G97">
        <f t="shared" si="21"/>
        <v>89.5</v>
      </c>
      <c r="I97">
        <f t="shared" si="22"/>
        <v>25</v>
      </c>
      <c r="J97">
        <f t="shared" si="23"/>
        <v>10.9</v>
      </c>
      <c r="K97">
        <f t="shared" si="24"/>
        <v>89.8</v>
      </c>
      <c r="M97">
        <f>M96</f>
        <v>43</v>
      </c>
      <c r="N97">
        <f>(7*B$20+3*10)/10</f>
        <v>13.15</v>
      </c>
      <c r="O97">
        <f>(7*C$20+3*90)/10</f>
        <v>89.3</v>
      </c>
      <c r="Q97">
        <f t="shared" si="25"/>
        <v>5</v>
      </c>
      <c r="R97">
        <f t="shared" si="26"/>
        <v>14.5</v>
      </c>
      <c r="S97">
        <f t="shared" si="27"/>
        <v>89</v>
      </c>
    </row>
    <row r="98" spans="1:19">
      <c r="A98">
        <f t="shared" si="16"/>
        <v>5</v>
      </c>
      <c r="B98">
        <f t="shared" si="17"/>
        <v>14.5</v>
      </c>
      <c r="C98">
        <f t="shared" si="18"/>
        <v>89</v>
      </c>
      <c r="E98">
        <f t="shared" si="19"/>
        <v>10</v>
      </c>
      <c r="F98">
        <f t="shared" si="20"/>
        <v>12.25</v>
      </c>
      <c r="G98">
        <f t="shared" si="21"/>
        <v>89.5</v>
      </c>
      <c r="I98">
        <f t="shared" si="22"/>
        <v>25</v>
      </c>
      <c r="J98">
        <f t="shared" si="23"/>
        <v>10.9</v>
      </c>
      <c r="K98">
        <f t="shared" si="24"/>
        <v>89.8</v>
      </c>
      <c r="M98">
        <f>M96+1</f>
        <v>44</v>
      </c>
      <c r="N98">
        <f>(7*B$20+3*10)/10</f>
        <v>13.15</v>
      </c>
      <c r="O98">
        <f>(7*C$20+3*90)/10</f>
        <v>89.3</v>
      </c>
      <c r="Q98">
        <f t="shared" si="25"/>
        <v>5</v>
      </c>
      <c r="R98">
        <f t="shared" si="26"/>
        <v>14.5</v>
      </c>
      <c r="S98">
        <f t="shared" si="27"/>
        <v>89</v>
      </c>
    </row>
    <row r="99" spans="1:19">
      <c r="A99">
        <f t="shared" si="16"/>
        <v>5</v>
      </c>
      <c r="B99">
        <f t="shared" si="17"/>
        <v>14.5</v>
      </c>
      <c r="C99">
        <f t="shared" si="18"/>
        <v>89</v>
      </c>
      <c r="E99">
        <f t="shared" si="19"/>
        <v>10</v>
      </c>
      <c r="F99">
        <f t="shared" si="20"/>
        <v>12.25</v>
      </c>
      <c r="G99">
        <f t="shared" si="21"/>
        <v>89.5</v>
      </c>
      <c r="I99">
        <f t="shared" si="22"/>
        <v>25</v>
      </c>
      <c r="J99">
        <f t="shared" si="23"/>
        <v>10.9</v>
      </c>
      <c r="K99">
        <f t="shared" si="24"/>
        <v>89.8</v>
      </c>
      <c r="M99">
        <f>M98</f>
        <v>44</v>
      </c>
      <c r="N99">
        <f>(6*B$20+4*10)/10</f>
        <v>12.7</v>
      </c>
      <c r="O99">
        <f>(6*C$20+4*90)/10</f>
        <v>89.4</v>
      </c>
      <c r="Q99">
        <f t="shared" si="25"/>
        <v>5</v>
      </c>
      <c r="R99">
        <f t="shared" si="26"/>
        <v>14.5</v>
      </c>
      <c r="S99">
        <f t="shared" si="27"/>
        <v>89</v>
      </c>
    </row>
    <row r="100" spans="1:19">
      <c r="A100">
        <f t="shared" si="16"/>
        <v>5</v>
      </c>
      <c r="B100">
        <f t="shared" si="17"/>
        <v>14.5</v>
      </c>
      <c r="C100">
        <f t="shared" si="18"/>
        <v>89</v>
      </c>
      <c r="E100">
        <f t="shared" si="19"/>
        <v>10</v>
      </c>
      <c r="F100">
        <f t="shared" si="20"/>
        <v>12.25</v>
      </c>
      <c r="G100">
        <f t="shared" si="21"/>
        <v>89.5</v>
      </c>
      <c r="I100">
        <f t="shared" si="22"/>
        <v>25</v>
      </c>
      <c r="J100">
        <f t="shared" si="23"/>
        <v>10.9</v>
      </c>
      <c r="K100">
        <f t="shared" si="24"/>
        <v>89.8</v>
      </c>
      <c r="M100">
        <f>M98+1</f>
        <v>45</v>
      </c>
      <c r="N100">
        <f>(6*B$20+4*10)/10</f>
        <v>12.7</v>
      </c>
      <c r="O100">
        <f>(6*C$20+4*90)/10</f>
        <v>89.4</v>
      </c>
      <c r="Q100">
        <f t="shared" si="25"/>
        <v>5</v>
      </c>
      <c r="R100">
        <f t="shared" si="26"/>
        <v>14.5</v>
      </c>
      <c r="S100">
        <f t="shared" si="27"/>
        <v>89</v>
      </c>
    </row>
    <row r="101" spans="1:19">
      <c r="A101">
        <f t="shared" si="16"/>
        <v>5</v>
      </c>
      <c r="B101">
        <f t="shared" si="17"/>
        <v>14.5</v>
      </c>
      <c r="C101">
        <f t="shared" si="18"/>
        <v>89</v>
      </c>
      <c r="E101">
        <f t="shared" si="19"/>
        <v>10</v>
      </c>
      <c r="F101">
        <f t="shared" si="20"/>
        <v>12.25</v>
      </c>
      <c r="G101">
        <f t="shared" si="21"/>
        <v>89.5</v>
      </c>
      <c r="I101">
        <f t="shared" si="22"/>
        <v>25</v>
      </c>
      <c r="J101">
        <f t="shared" si="23"/>
        <v>10.9</v>
      </c>
      <c r="K101">
        <f t="shared" si="24"/>
        <v>89.8</v>
      </c>
      <c r="M101">
        <f>M100</f>
        <v>45</v>
      </c>
      <c r="N101">
        <f>(5*B$20+5*10)/10</f>
        <v>12.25</v>
      </c>
      <c r="O101">
        <f>(5*C$20+5*90)/10</f>
        <v>89.5</v>
      </c>
      <c r="Q101">
        <f t="shared" si="25"/>
        <v>5</v>
      </c>
      <c r="R101">
        <f t="shared" si="26"/>
        <v>14.5</v>
      </c>
      <c r="S101">
        <f t="shared" si="27"/>
        <v>89</v>
      </c>
    </row>
    <row r="102" spans="1:19">
      <c r="A102">
        <f t="shared" si="16"/>
        <v>5</v>
      </c>
      <c r="B102">
        <f t="shared" si="17"/>
        <v>14.5</v>
      </c>
      <c r="C102">
        <f t="shared" si="18"/>
        <v>89</v>
      </c>
      <c r="E102">
        <f t="shared" si="19"/>
        <v>10</v>
      </c>
      <c r="F102">
        <f t="shared" si="20"/>
        <v>12.25</v>
      </c>
      <c r="G102">
        <f t="shared" si="21"/>
        <v>89.5</v>
      </c>
      <c r="I102">
        <f t="shared" si="22"/>
        <v>25</v>
      </c>
      <c r="J102">
        <f t="shared" si="23"/>
        <v>10.9</v>
      </c>
      <c r="K102">
        <f t="shared" si="24"/>
        <v>89.8</v>
      </c>
      <c r="M102">
        <f>M100+1</f>
        <v>46</v>
      </c>
      <c r="N102">
        <f>(5*B$20+5*10)/10</f>
        <v>12.25</v>
      </c>
      <c r="O102">
        <f>(5*C$20+5*90)/10</f>
        <v>89.5</v>
      </c>
      <c r="Q102">
        <f t="shared" si="25"/>
        <v>5</v>
      </c>
      <c r="R102">
        <f t="shared" si="26"/>
        <v>14.5</v>
      </c>
      <c r="S102">
        <f t="shared" si="27"/>
        <v>89</v>
      </c>
    </row>
    <row r="103" spans="1:19">
      <c r="A103">
        <f t="shared" si="16"/>
        <v>5</v>
      </c>
      <c r="B103">
        <f t="shared" si="17"/>
        <v>14.5</v>
      </c>
      <c r="C103">
        <f t="shared" si="18"/>
        <v>89</v>
      </c>
      <c r="E103">
        <f t="shared" si="19"/>
        <v>10</v>
      </c>
      <c r="F103">
        <f t="shared" si="20"/>
        <v>12.25</v>
      </c>
      <c r="G103">
        <f t="shared" si="21"/>
        <v>89.5</v>
      </c>
      <c r="I103">
        <f t="shared" si="22"/>
        <v>25</v>
      </c>
      <c r="J103">
        <f t="shared" si="23"/>
        <v>10.9</v>
      </c>
      <c r="K103">
        <f t="shared" si="24"/>
        <v>89.8</v>
      </c>
      <c r="M103">
        <f>M102</f>
        <v>46</v>
      </c>
      <c r="N103">
        <f>(4*B$20+6*10)/10</f>
        <v>11.8</v>
      </c>
      <c r="O103">
        <f>(4*C$20+6*90)/10</f>
        <v>89.6</v>
      </c>
      <c r="Q103">
        <f t="shared" si="25"/>
        <v>5</v>
      </c>
      <c r="R103">
        <f t="shared" si="26"/>
        <v>14.5</v>
      </c>
      <c r="S103">
        <f t="shared" si="27"/>
        <v>89</v>
      </c>
    </row>
    <row r="104" spans="1:19">
      <c r="A104">
        <f t="shared" si="16"/>
        <v>5</v>
      </c>
      <c r="B104">
        <f t="shared" si="17"/>
        <v>14.5</v>
      </c>
      <c r="C104">
        <f t="shared" si="18"/>
        <v>89</v>
      </c>
      <c r="E104">
        <f t="shared" si="19"/>
        <v>10</v>
      </c>
      <c r="F104">
        <f t="shared" si="20"/>
        <v>12.25</v>
      </c>
      <c r="G104">
        <f t="shared" si="21"/>
        <v>89.5</v>
      </c>
      <c r="I104">
        <f t="shared" si="22"/>
        <v>25</v>
      </c>
      <c r="J104">
        <f t="shared" si="23"/>
        <v>10.9</v>
      </c>
      <c r="K104">
        <f t="shared" si="24"/>
        <v>89.8</v>
      </c>
      <c r="M104">
        <f>M102+1</f>
        <v>47</v>
      </c>
      <c r="N104">
        <f>(4*B$20+6*10)/10</f>
        <v>11.8</v>
      </c>
      <c r="O104">
        <f>(4*C$20+6*90)/10</f>
        <v>89.6</v>
      </c>
      <c r="Q104">
        <f t="shared" si="25"/>
        <v>5</v>
      </c>
      <c r="R104">
        <f t="shared" si="26"/>
        <v>14.5</v>
      </c>
      <c r="S104">
        <f t="shared" si="27"/>
        <v>89</v>
      </c>
    </row>
    <row r="105" spans="1:19">
      <c r="A105">
        <f t="shared" si="16"/>
        <v>5</v>
      </c>
      <c r="B105">
        <f t="shared" si="17"/>
        <v>14.5</v>
      </c>
      <c r="C105">
        <f t="shared" si="18"/>
        <v>89</v>
      </c>
      <c r="E105">
        <f t="shared" si="19"/>
        <v>10</v>
      </c>
      <c r="F105">
        <f t="shared" si="20"/>
        <v>12.25</v>
      </c>
      <c r="G105">
        <f t="shared" si="21"/>
        <v>89.5</v>
      </c>
      <c r="I105">
        <f t="shared" si="22"/>
        <v>25</v>
      </c>
      <c r="J105">
        <f t="shared" si="23"/>
        <v>10.9</v>
      </c>
      <c r="K105">
        <f t="shared" si="24"/>
        <v>89.8</v>
      </c>
      <c r="M105">
        <f>M104</f>
        <v>47</v>
      </c>
      <c r="N105">
        <f>(3*B$20+7*10)/10</f>
        <v>11.35</v>
      </c>
      <c r="O105">
        <f>(3*C$20+7*90)/10</f>
        <v>89.7</v>
      </c>
      <c r="Q105">
        <f t="shared" si="25"/>
        <v>5</v>
      </c>
      <c r="R105">
        <f t="shared" si="26"/>
        <v>14.5</v>
      </c>
      <c r="S105">
        <f t="shared" si="27"/>
        <v>89</v>
      </c>
    </row>
    <row r="106" spans="1:19">
      <c r="A106">
        <f t="shared" si="16"/>
        <v>5</v>
      </c>
      <c r="B106">
        <f t="shared" si="17"/>
        <v>14.5</v>
      </c>
      <c r="C106">
        <f t="shared" si="18"/>
        <v>89</v>
      </c>
      <c r="E106">
        <f t="shared" si="19"/>
        <v>10</v>
      </c>
      <c r="F106">
        <f t="shared" si="20"/>
        <v>12.25</v>
      </c>
      <c r="G106">
        <f t="shared" si="21"/>
        <v>89.5</v>
      </c>
      <c r="I106">
        <f t="shared" si="22"/>
        <v>25</v>
      </c>
      <c r="J106">
        <f t="shared" si="23"/>
        <v>10.9</v>
      </c>
      <c r="K106">
        <f t="shared" si="24"/>
        <v>89.8</v>
      </c>
      <c r="M106">
        <f>M104+1</f>
        <v>48</v>
      </c>
      <c r="N106">
        <f>(3*B$20+7*10)/10</f>
        <v>11.35</v>
      </c>
      <c r="O106">
        <f>(3*C$20+7*90)/10</f>
        <v>89.7</v>
      </c>
      <c r="Q106">
        <f t="shared" si="25"/>
        <v>5</v>
      </c>
      <c r="R106">
        <f t="shared" si="26"/>
        <v>14.5</v>
      </c>
      <c r="S106">
        <f t="shared" si="27"/>
        <v>89</v>
      </c>
    </row>
    <row r="107" spans="1:19">
      <c r="A107">
        <f t="shared" si="16"/>
        <v>5</v>
      </c>
      <c r="B107">
        <f t="shared" si="17"/>
        <v>14.5</v>
      </c>
      <c r="C107">
        <f t="shared" si="18"/>
        <v>89</v>
      </c>
      <c r="E107">
        <f t="shared" si="19"/>
        <v>10</v>
      </c>
      <c r="F107">
        <f t="shared" si="20"/>
        <v>12.25</v>
      </c>
      <c r="G107">
        <f t="shared" si="21"/>
        <v>89.5</v>
      </c>
      <c r="I107">
        <f t="shared" si="22"/>
        <v>25</v>
      </c>
      <c r="J107">
        <f t="shared" si="23"/>
        <v>10.9</v>
      </c>
      <c r="K107">
        <f t="shared" si="24"/>
        <v>89.8</v>
      </c>
      <c r="M107">
        <f>M106</f>
        <v>48</v>
      </c>
      <c r="N107">
        <f>(2*B$20+8*10)/10</f>
        <v>10.9</v>
      </c>
      <c r="O107">
        <f>(2*C$20+8*90)/10</f>
        <v>89.8</v>
      </c>
      <c r="Q107">
        <f t="shared" si="25"/>
        <v>5</v>
      </c>
      <c r="R107">
        <f t="shared" si="26"/>
        <v>14.5</v>
      </c>
      <c r="S107">
        <f t="shared" si="27"/>
        <v>89</v>
      </c>
    </row>
    <row r="108" spans="1:19">
      <c r="A108">
        <f t="shared" si="16"/>
        <v>5</v>
      </c>
      <c r="B108">
        <f t="shared" si="17"/>
        <v>14.5</v>
      </c>
      <c r="C108">
        <f t="shared" si="18"/>
        <v>89</v>
      </c>
      <c r="E108">
        <f t="shared" si="19"/>
        <v>10</v>
      </c>
      <c r="F108">
        <f t="shared" si="20"/>
        <v>12.25</v>
      </c>
      <c r="G108">
        <f t="shared" si="21"/>
        <v>89.5</v>
      </c>
      <c r="I108">
        <f t="shared" si="22"/>
        <v>25</v>
      </c>
      <c r="J108">
        <f t="shared" si="23"/>
        <v>10.9</v>
      </c>
      <c r="K108">
        <f t="shared" si="24"/>
        <v>89.8</v>
      </c>
      <c r="M108">
        <f>M106+1</f>
        <v>49</v>
      </c>
      <c r="N108">
        <f>(2*B$20+8*10)/10</f>
        <v>10.9</v>
      </c>
      <c r="O108">
        <f>(2*C$20+8*90)/10</f>
        <v>89.8</v>
      </c>
      <c r="Q108">
        <f t="shared" si="25"/>
        <v>5</v>
      </c>
      <c r="R108">
        <f t="shared" si="26"/>
        <v>14.5</v>
      </c>
      <c r="S108">
        <f t="shared" si="27"/>
        <v>89</v>
      </c>
    </row>
    <row r="109" spans="1:19">
      <c r="A109">
        <f t="shared" si="16"/>
        <v>5</v>
      </c>
      <c r="B109">
        <f t="shared" si="17"/>
        <v>14.5</v>
      </c>
      <c r="C109">
        <f t="shared" si="18"/>
        <v>89</v>
      </c>
      <c r="E109">
        <f t="shared" si="19"/>
        <v>10</v>
      </c>
      <c r="F109">
        <f t="shared" si="20"/>
        <v>12.25</v>
      </c>
      <c r="G109">
        <f t="shared" si="21"/>
        <v>89.5</v>
      </c>
      <c r="I109">
        <f t="shared" si="22"/>
        <v>25</v>
      </c>
      <c r="J109">
        <f t="shared" si="23"/>
        <v>10.9</v>
      </c>
      <c r="K109">
        <f t="shared" si="24"/>
        <v>89.8</v>
      </c>
      <c r="M109">
        <f>M108</f>
        <v>49</v>
      </c>
      <c r="N109">
        <f>(1*B$20+9*10)/10</f>
        <v>10.45</v>
      </c>
      <c r="O109">
        <f>(1*C$20+9*90)/10</f>
        <v>89.9</v>
      </c>
      <c r="Q109">
        <f t="shared" si="25"/>
        <v>5</v>
      </c>
      <c r="R109">
        <f t="shared" si="26"/>
        <v>14.5</v>
      </c>
      <c r="S109">
        <f t="shared" si="27"/>
        <v>89</v>
      </c>
    </row>
    <row r="110" spans="1:19">
      <c r="A110">
        <f t="shared" si="16"/>
        <v>5</v>
      </c>
      <c r="B110">
        <f t="shared" si="17"/>
        <v>14.5</v>
      </c>
      <c r="C110">
        <f t="shared" si="18"/>
        <v>89</v>
      </c>
      <c r="E110">
        <f t="shared" si="19"/>
        <v>10</v>
      </c>
      <c r="F110">
        <f t="shared" si="20"/>
        <v>12.25</v>
      </c>
      <c r="G110">
        <f t="shared" si="21"/>
        <v>89.5</v>
      </c>
      <c r="I110">
        <f t="shared" si="22"/>
        <v>25</v>
      </c>
      <c r="J110">
        <f t="shared" si="23"/>
        <v>10.9</v>
      </c>
      <c r="K110">
        <f t="shared" si="24"/>
        <v>89.8</v>
      </c>
      <c r="M110">
        <f>M108+1</f>
        <v>50</v>
      </c>
      <c r="N110">
        <f>(1*B$20+9*10)/10</f>
        <v>10.45</v>
      </c>
      <c r="O110">
        <f>(1*C$20+9*90)/10</f>
        <v>89.9</v>
      </c>
      <c r="Q110">
        <f t="shared" si="25"/>
        <v>5</v>
      </c>
      <c r="R110">
        <f t="shared" si="26"/>
        <v>14.5</v>
      </c>
      <c r="S110">
        <f t="shared" si="27"/>
        <v>89</v>
      </c>
    </row>
  </sheetData>
  <mergeCells count="2">
    <mergeCell ref="B1:H5"/>
    <mergeCell ref="B7:H9"/>
  </mergeCells>
  <phoneticPr fontId="8"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tabColor indexed="26"/>
  </sheetPr>
  <dimension ref="A1:V51"/>
  <sheetViews>
    <sheetView workbookViewId="0">
      <selection activeCell="F12" sqref="F12:G12"/>
    </sheetView>
  </sheetViews>
  <sheetFormatPr baseColWidth="10" defaultColWidth="8.83203125" defaultRowHeight="13" x14ac:dyDescent="0"/>
  <cols>
    <col min="1" max="1" width="4.83203125" style="99" customWidth="1"/>
    <col min="2" max="14" width="8.83203125" style="40"/>
    <col min="15" max="15" width="8.83203125" style="63"/>
    <col min="16" max="22" width="8.83203125" style="25"/>
  </cols>
  <sheetData>
    <row r="1" spans="1:11" ht="12.75" customHeight="1">
      <c r="B1" s="192" t="str">
        <f>MMSols!B1</f>
        <v>On this concluding sheet, we consider the issue of finding the competitive equilibrium price.  To do this, we let you play the role of "Market Maker."  You get to announce the price in a round.  Then advance the round counter by 1, after which you observe the quantity supplied and demanded at that price.  These are recorded and plotted.  Based on your observations, you can choose another price and repeat the process.  Your goal is to continue in this manner till you find the equilibrium price.  You have 10 rounds of price setting to achieve your goal.  If you get stuck, simply back track on the round counter and try again.  Once you've found the equilibrium price, you're asked some questions to help you reflect on what you've just learned.</v>
      </c>
      <c r="C1" s="191"/>
      <c r="D1" s="191"/>
      <c r="E1" s="191"/>
      <c r="F1" s="191"/>
      <c r="G1" s="191"/>
      <c r="H1" s="191"/>
      <c r="I1" s="191"/>
    </row>
    <row r="2" spans="1:11">
      <c r="B2" s="192"/>
      <c r="C2" s="191"/>
      <c r="D2" s="191"/>
      <c r="E2" s="191"/>
      <c r="F2" s="191"/>
      <c r="G2" s="191"/>
      <c r="H2" s="191"/>
      <c r="I2" s="191"/>
    </row>
    <row r="3" spans="1:11">
      <c r="B3" s="192"/>
      <c r="C3" s="191"/>
      <c r="D3" s="191"/>
      <c r="E3" s="191"/>
      <c r="F3" s="191"/>
      <c r="G3" s="191"/>
      <c r="H3" s="191"/>
      <c r="I3" s="191"/>
      <c r="K3" s="38" t="s">
        <v>144</v>
      </c>
    </row>
    <row r="4" spans="1:11">
      <c r="B4" s="192"/>
      <c r="C4" s="191"/>
      <c r="D4" s="191"/>
      <c r="E4" s="191"/>
      <c r="F4" s="191"/>
      <c r="G4" s="191"/>
      <c r="H4" s="191"/>
      <c r="I4" s="191"/>
    </row>
    <row r="5" spans="1:11">
      <c r="B5" s="192"/>
      <c r="C5" s="191"/>
      <c r="D5" s="191"/>
      <c r="E5" s="191"/>
      <c r="F5" s="191"/>
      <c r="G5" s="191"/>
      <c r="H5" s="191"/>
      <c r="I5" s="191"/>
    </row>
    <row r="6" spans="1:11">
      <c r="B6" s="192"/>
      <c r="C6" s="191"/>
      <c r="D6" s="191"/>
      <c r="E6" s="191"/>
      <c r="F6" s="191"/>
      <c r="G6" s="191"/>
      <c r="H6" s="191"/>
      <c r="I6" s="191"/>
    </row>
    <row r="7" spans="1:11">
      <c r="B7" s="192"/>
      <c r="C7" s="191"/>
      <c r="D7" s="191"/>
      <c r="E7" s="191"/>
      <c r="F7" s="191"/>
      <c r="G7" s="191"/>
      <c r="H7" s="191"/>
      <c r="I7" s="191"/>
    </row>
    <row r="8" spans="1:11">
      <c r="B8" s="192"/>
      <c r="C8" s="191"/>
      <c r="D8" s="191"/>
      <c r="E8" s="191"/>
      <c r="F8" s="191"/>
      <c r="G8" s="191"/>
      <c r="H8" s="191"/>
      <c r="I8" s="191"/>
    </row>
    <row r="9" spans="1:11">
      <c r="B9" s="192"/>
      <c r="C9" s="191"/>
      <c r="D9" s="191"/>
      <c r="E9" s="191"/>
      <c r="F9" s="191"/>
      <c r="G9" s="191"/>
      <c r="H9" s="191"/>
      <c r="I9" s="191"/>
    </row>
    <row r="10" spans="1:11">
      <c r="B10" s="192"/>
      <c r="C10" s="191"/>
      <c r="D10" s="191"/>
      <c r="E10" s="191"/>
      <c r="F10" s="191"/>
      <c r="G10" s="191"/>
      <c r="H10" s="191"/>
      <c r="I10" s="191"/>
    </row>
    <row r="12" spans="1:11">
      <c r="A12" s="61" t="s">
        <v>31</v>
      </c>
      <c r="B12" s="39" t="s">
        <v>145</v>
      </c>
      <c r="C12" s="122" t="s">
        <v>86</v>
      </c>
      <c r="D12" s="39" t="s">
        <v>146</v>
      </c>
      <c r="E12" s="39" t="s">
        <v>147</v>
      </c>
      <c r="F12" s="236" t="s">
        <v>313</v>
      </c>
      <c r="G12" s="236"/>
    </row>
    <row r="13" spans="1:11" ht="18" customHeight="1">
      <c r="A13" s="107">
        <v>30</v>
      </c>
      <c r="B13" s="123">
        <f>MMSols!B13</f>
        <v>1</v>
      </c>
      <c r="C13" s="41">
        <f>IF(B13&lt;$B$26+2,A13*0.2,-10)</f>
        <v>6</v>
      </c>
      <c r="D13" s="40">
        <f>MMSols!C13</f>
        <v>-10</v>
      </c>
      <c r="E13" s="40">
        <f>MMSols!D13</f>
        <v>-10</v>
      </c>
      <c r="F13" s="237">
        <f>MMSols!G13</f>
        <v>0</v>
      </c>
      <c r="G13" s="237"/>
    </row>
    <row r="14" spans="1:11" ht="18" customHeight="1">
      <c r="A14" s="107">
        <v>30</v>
      </c>
      <c r="B14" s="123">
        <f>MMSols!B14</f>
        <v>2</v>
      </c>
      <c r="C14" s="41">
        <f>IF(B14&lt;$B$26+2,A14*0.2,-10)</f>
        <v>-10</v>
      </c>
      <c r="D14" s="40">
        <f>MMSols!C14</f>
        <v>-10</v>
      </c>
      <c r="E14" s="40">
        <f>MMSols!D14</f>
        <v>-10</v>
      </c>
      <c r="F14" s="237">
        <f>MMSols!G14</f>
        <v>0</v>
      </c>
      <c r="G14" s="237"/>
    </row>
    <row r="15" spans="1:11" ht="18" customHeight="1">
      <c r="A15" s="107">
        <v>30</v>
      </c>
      <c r="B15" s="123">
        <f>MMSols!B15</f>
        <v>3</v>
      </c>
      <c r="C15" s="41">
        <f t="shared" ref="C15:C22" si="0">IF(B15&lt;$B$26+2,A15*0.2,-10)</f>
        <v>-10</v>
      </c>
      <c r="D15" s="40">
        <f>MMSols!C15</f>
        <v>-10</v>
      </c>
      <c r="E15" s="40">
        <f>MMSols!D15</f>
        <v>-10</v>
      </c>
      <c r="F15" s="237">
        <f>MMSols!G15</f>
        <v>0</v>
      </c>
      <c r="G15" s="237"/>
    </row>
    <row r="16" spans="1:11" ht="18" customHeight="1">
      <c r="A16" s="107">
        <v>30</v>
      </c>
      <c r="B16" s="123">
        <f>MMSols!B16</f>
        <v>4</v>
      </c>
      <c r="C16" s="41">
        <f t="shared" si="0"/>
        <v>-10</v>
      </c>
      <c r="D16" s="40">
        <f>MMSols!C16</f>
        <v>-10</v>
      </c>
      <c r="E16" s="40">
        <f>MMSols!D16</f>
        <v>-10</v>
      </c>
      <c r="F16" s="237">
        <f>MMSols!G16</f>
        <v>0</v>
      </c>
      <c r="G16" s="237"/>
    </row>
    <row r="17" spans="1:8" ht="18" customHeight="1">
      <c r="A17" s="107">
        <v>30</v>
      </c>
      <c r="B17" s="123">
        <f>MMSols!B17</f>
        <v>5</v>
      </c>
      <c r="C17" s="41">
        <f t="shared" si="0"/>
        <v>-10</v>
      </c>
      <c r="D17" s="40">
        <f>MMSols!C17</f>
        <v>-10</v>
      </c>
      <c r="E17" s="40">
        <f>MMSols!D17</f>
        <v>-10</v>
      </c>
      <c r="F17" s="237">
        <f>MMSols!G17</f>
        <v>0</v>
      </c>
      <c r="G17" s="237"/>
    </row>
    <row r="18" spans="1:8" ht="18" customHeight="1">
      <c r="A18" s="107">
        <v>30</v>
      </c>
      <c r="B18" s="123">
        <f>MMSols!B18</f>
        <v>6</v>
      </c>
      <c r="C18" s="41">
        <f t="shared" si="0"/>
        <v>-10</v>
      </c>
      <c r="D18" s="40">
        <f>MMSols!C18</f>
        <v>-10</v>
      </c>
      <c r="E18" s="40">
        <f>MMSols!D18</f>
        <v>-10</v>
      </c>
      <c r="F18" s="237">
        <f>MMSols!G18</f>
        <v>0</v>
      </c>
      <c r="G18" s="237"/>
    </row>
    <row r="19" spans="1:8" ht="18" customHeight="1">
      <c r="A19" s="107">
        <v>30</v>
      </c>
      <c r="B19" s="123">
        <f>MMSols!B19</f>
        <v>7</v>
      </c>
      <c r="C19" s="41">
        <f t="shared" si="0"/>
        <v>-10</v>
      </c>
      <c r="D19" s="40">
        <f>MMSols!C19</f>
        <v>-10</v>
      </c>
      <c r="E19" s="40">
        <f>MMSols!D19</f>
        <v>-10</v>
      </c>
      <c r="F19" s="237">
        <f>MMSols!G19</f>
        <v>0</v>
      </c>
      <c r="G19" s="237"/>
    </row>
    <row r="20" spans="1:8" ht="18" customHeight="1">
      <c r="A20" s="107">
        <v>30</v>
      </c>
      <c r="B20" s="123">
        <f>MMSols!B20</f>
        <v>8</v>
      </c>
      <c r="C20" s="41">
        <f t="shared" si="0"/>
        <v>-10</v>
      </c>
      <c r="D20" s="40">
        <f>MMSols!C20</f>
        <v>-10</v>
      </c>
      <c r="E20" s="40">
        <f>MMSols!D20</f>
        <v>-10</v>
      </c>
      <c r="F20" s="237">
        <f>MMSols!G20</f>
        <v>0</v>
      </c>
      <c r="G20" s="237"/>
    </row>
    <row r="21" spans="1:8" ht="18" customHeight="1">
      <c r="A21" s="107">
        <v>30</v>
      </c>
      <c r="B21" s="123">
        <f>MMSols!B21</f>
        <v>9</v>
      </c>
      <c r="C21" s="41">
        <f t="shared" si="0"/>
        <v>-10</v>
      </c>
      <c r="D21" s="40">
        <f>MMSols!C21</f>
        <v>-10</v>
      </c>
      <c r="E21" s="40">
        <f>MMSols!D21</f>
        <v>-10</v>
      </c>
      <c r="F21" s="237">
        <f>MMSols!G21</f>
        <v>0</v>
      </c>
      <c r="G21" s="237"/>
    </row>
    <row r="22" spans="1:8" ht="18" customHeight="1">
      <c r="A22" s="107">
        <v>30</v>
      </c>
      <c r="B22" s="123">
        <f>MMSols!B22</f>
        <v>10</v>
      </c>
      <c r="C22" s="41">
        <f t="shared" si="0"/>
        <v>-10</v>
      </c>
      <c r="D22" s="40">
        <f>MMSols!C22</f>
        <v>-10</v>
      </c>
      <c r="E22" s="40">
        <f>MMSols!D22</f>
        <v>-10</v>
      </c>
      <c r="F22" s="237">
        <f>MMSols!G22</f>
        <v>0</v>
      </c>
      <c r="G22" s="237"/>
    </row>
    <row r="23" spans="1:8" ht="18" customHeight="1">
      <c r="F23" s="128"/>
      <c r="G23" s="128"/>
      <c r="H23" s="67">
        <v>-10</v>
      </c>
    </row>
    <row r="24" spans="1:8">
      <c r="B24" s="38" t="s">
        <v>314</v>
      </c>
      <c r="F24" s="67"/>
    </row>
    <row r="25" spans="1:8">
      <c r="B25" s="39" t="s">
        <v>148</v>
      </c>
      <c r="C25" s="68"/>
      <c r="F25" s="67"/>
    </row>
    <row r="26" spans="1:8">
      <c r="A26" s="107">
        <v>10</v>
      </c>
      <c r="B26" s="67">
        <v>0</v>
      </c>
      <c r="C26" s="100"/>
    </row>
    <row r="27" spans="1:8">
      <c r="B27" s="67"/>
    </row>
    <row r="31" spans="1:8">
      <c r="A31" s="61" t="s">
        <v>43</v>
      </c>
      <c r="B31" s="101">
        <f>MMSols!B31</f>
        <v>0</v>
      </c>
    </row>
    <row r="34" spans="2:2">
      <c r="B34" s="102">
        <f>MMSols!B34</f>
        <v>0</v>
      </c>
    </row>
    <row r="36" spans="2:2">
      <c r="B36" s="49">
        <f>MMSols!B36</f>
        <v>0</v>
      </c>
    </row>
    <row r="39" spans="2:2">
      <c r="B39" s="102">
        <f>MMSols!B39</f>
        <v>0</v>
      </c>
    </row>
    <row r="41" spans="2:2">
      <c r="B41" s="49">
        <f>MMSols!B41</f>
        <v>0</v>
      </c>
    </row>
    <row r="44" spans="2:2">
      <c r="B44" s="102">
        <f>MMSols!B44</f>
        <v>0</v>
      </c>
    </row>
    <row r="46" spans="2:2">
      <c r="B46" s="49">
        <f>MMSols!B46</f>
        <v>0</v>
      </c>
    </row>
    <row r="49" spans="2:2">
      <c r="B49" s="102">
        <f>MMSols!B49</f>
        <v>0</v>
      </c>
    </row>
    <row r="51" spans="2:2" ht="16">
      <c r="B51" s="103">
        <f>MMSols!B51</f>
        <v>0</v>
      </c>
    </row>
  </sheetData>
  <sheetProtection password="CD8E" sheet="1" objects="1" scenarios="1" selectLockedCells="1"/>
  <mergeCells count="12">
    <mergeCell ref="F21:G21"/>
    <mergeCell ref="F22:G22"/>
    <mergeCell ref="F16:G16"/>
    <mergeCell ref="F17:G17"/>
    <mergeCell ref="F18:G18"/>
    <mergeCell ref="F19:G19"/>
    <mergeCell ref="F20:G20"/>
    <mergeCell ref="B1:I10"/>
    <mergeCell ref="F12:G12"/>
    <mergeCell ref="F13:G13"/>
    <mergeCell ref="F14:G14"/>
    <mergeCell ref="F15:G15"/>
  </mergeCells>
  <phoneticPr fontId="8" type="noConversion"/>
  <conditionalFormatting sqref="B13:M51">
    <cfRule type="cellIs" dxfId="15" priority="1" operator="equal">
      <formula>"Incorrect"</formula>
    </cfRule>
    <cfRule type="cellIs" dxfId="14" priority="2" operator="equal">
      <formula>"Correct"</formula>
    </cfRule>
    <cfRule type="cellIs" dxfId="13" priority="3" operator="equal">
      <formula>"Equilibrium"</formula>
    </cfRule>
    <cfRule type="cellIs" dxfId="12" priority="4" operator="equal">
      <formula>"Excess Supply"</formula>
    </cfRule>
    <cfRule type="cellIs" dxfId="11" priority="5" operator="equal">
      <formula>"Excess Demand"</formula>
    </cfRule>
    <cfRule type="cellIs" dxfId="10" priority="6" operator="equal">
      <formula>-10</formula>
    </cfRule>
    <cfRule type="cellIs" dxfId="9" priority="7" operator="equal">
      <formula>0</formula>
    </cfRule>
  </conditionalFormatting>
  <pageMargins left="0.75" right="0.75" top="1" bottom="1" header="0.5" footer="0.5"/>
  <pageSetup orientation="portrait" horizontalDpi="200" verticalDpi="200"/>
  <headerFooter alignWithMargins="0"/>
  <drawing r:id="rId1"/>
  <legacyDrawing r:id="rId2"/>
  <oleObjects>
    <mc:AlternateContent xmlns:mc="http://schemas.openxmlformats.org/markup-compatibility/2006">
      <mc:Choice Requires="x14">
        <oleObject progId="word.document.8" dvAspect="DVASPECT_ICON" shapeId="54281" r:id="rId3">
          <objectPr locked="0" defaultSize="0" autoPict="0" r:id="rId4">
            <anchor moveWithCells="1">
              <from>
                <xdr:col>10</xdr:col>
                <xdr:colOff>165100</xdr:colOff>
                <xdr:row>3</xdr:row>
                <xdr:rowOff>63500</xdr:rowOff>
              </from>
              <to>
                <xdr:col>11</xdr:col>
                <xdr:colOff>368300</xdr:colOff>
                <xdr:row>7</xdr:row>
                <xdr:rowOff>139700</xdr:rowOff>
              </to>
            </anchor>
          </objectPr>
        </oleObject>
      </mc:Choice>
      <mc:Fallback>
        <oleObject progId="word.document.8" dvAspect="DVASPECT_ICON" shapeId="54281" r:id="rId3"/>
      </mc:Fallback>
    </mc:AlternateContent>
  </oleObjects>
  <mc:AlternateContent xmlns:mc="http://schemas.openxmlformats.org/markup-compatibility/2006">
    <mc:Choice Requires="x14">
      <controls>
        <mc:AlternateContent xmlns:mc="http://schemas.openxmlformats.org/markup-compatibility/2006">
          <mc:Choice Requires="x14">
            <control shapeId="54274" r:id="rId5" name="Spinner 2">
              <controlPr defaultSize="0" autoPict="0">
                <anchor moveWithCells="1" sizeWithCells="1">
                  <from>
                    <xdr:col>1</xdr:col>
                    <xdr:colOff>241300</xdr:colOff>
                    <xdr:row>25</xdr:row>
                    <xdr:rowOff>0</xdr:rowOff>
                  </from>
                  <to>
                    <xdr:col>1</xdr:col>
                    <xdr:colOff>381000</xdr:colOff>
                    <xdr:row>26</xdr:row>
                    <xdr:rowOff>88900</xdr:rowOff>
                  </to>
                </anchor>
              </controlPr>
            </control>
          </mc:Choice>
          <mc:Fallback/>
        </mc:AlternateContent>
        <mc:AlternateContent xmlns:mc="http://schemas.openxmlformats.org/markup-compatibility/2006">
          <mc:Choice Requires="x14">
            <control shapeId="54277" r:id="rId6" name="Drop Down 5">
              <controlPr defaultSize="0" autoLine="0" autoPict="0">
                <anchor moveWithCells="1">
                  <from>
                    <xdr:col>1</xdr:col>
                    <xdr:colOff>0</xdr:colOff>
                    <xdr:row>31</xdr:row>
                    <xdr:rowOff>0</xdr:rowOff>
                  </from>
                  <to>
                    <xdr:col>4</xdr:col>
                    <xdr:colOff>596900</xdr:colOff>
                    <xdr:row>32</xdr:row>
                    <xdr:rowOff>38100</xdr:rowOff>
                  </to>
                </anchor>
              </controlPr>
            </control>
          </mc:Choice>
          <mc:Fallback/>
        </mc:AlternateContent>
        <mc:AlternateContent xmlns:mc="http://schemas.openxmlformats.org/markup-compatibility/2006">
          <mc:Choice Requires="x14">
            <control shapeId="54278" r:id="rId7" name="Drop Down 6">
              <controlPr defaultSize="0" autoLine="0" autoPict="0">
                <anchor moveWithCells="1">
                  <from>
                    <xdr:col>1</xdr:col>
                    <xdr:colOff>0</xdr:colOff>
                    <xdr:row>36</xdr:row>
                    <xdr:rowOff>0</xdr:rowOff>
                  </from>
                  <to>
                    <xdr:col>4</xdr:col>
                    <xdr:colOff>622300</xdr:colOff>
                    <xdr:row>37</xdr:row>
                    <xdr:rowOff>88900</xdr:rowOff>
                  </to>
                </anchor>
              </controlPr>
            </control>
          </mc:Choice>
          <mc:Fallback/>
        </mc:AlternateContent>
        <mc:AlternateContent xmlns:mc="http://schemas.openxmlformats.org/markup-compatibility/2006">
          <mc:Choice Requires="x14">
            <control shapeId="54279" r:id="rId8" name="Drop Down 7">
              <controlPr defaultSize="0" autoLine="0" autoPict="0">
                <anchor moveWithCells="1">
                  <from>
                    <xdr:col>1</xdr:col>
                    <xdr:colOff>0</xdr:colOff>
                    <xdr:row>41</xdr:row>
                    <xdr:rowOff>0</xdr:rowOff>
                  </from>
                  <to>
                    <xdr:col>5</xdr:col>
                    <xdr:colOff>12700</xdr:colOff>
                    <xdr:row>42</xdr:row>
                    <xdr:rowOff>50800</xdr:rowOff>
                  </to>
                </anchor>
              </controlPr>
            </control>
          </mc:Choice>
          <mc:Fallback/>
        </mc:AlternateContent>
        <mc:AlternateContent xmlns:mc="http://schemas.openxmlformats.org/markup-compatibility/2006">
          <mc:Choice Requires="x14">
            <control shapeId="54280" r:id="rId9" name="Drop Down 8">
              <controlPr defaultSize="0" autoLine="0" autoPict="0">
                <anchor moveWithCells="1">
                  <from>
                    <xdr:col>1</xdr:col>
                    <xdr:colOff>0</xdr:colOff>
                    <xdr:row>46</xdr:row>
                    <xdr:rowOff>0</xdr:rowOff>
                  </from>
                  <to>
                    <xdr:col>6</xdr:col>
                    <xdr:colOff>0</xdr:colOff>
                    <xdr:row>47</xdr:row>
                    <xdr:rowOff>50800</xdr:rowOff>
                  </to>
                </anchor>
              </controlPr>
            </control>
          </mc:Choice>
          <mc:Fallback/>
        </mc:AlternateContent>
        <mc:AlternateContent xmlns:mc="http://schemas.openxmlformats.org/markup-compatibility/2006">
          <mc:Choice Requires="x14">
            <control shapeId="54282" r:id="rId10" name="Spinner 10">
              <controlPr defaultSize="0" autoPict="0">
                <anchor moveWithCells="1" sizeWithCells="1">
                  <from>
                    <xdr:col>1</xdr:col>
                    <xdr:colOff>596900</xdr:colOff>
                    <xdr:row>12</xdr:row>
                    <xdr:rowOff>63500</xdr:rowOff>
                  </from>
                  <to>
                    <xdr:col>2</xdr:col>
                    <xdr:colOff>139700</xdr:colOff>
                    <xdr:row>13</xdr:row>
                    <xdr:rowOff>25400</xdr:rowOff>
                  </to>
                </anchor>
              </controlPr>
            </control>
          </mc:Choice>
          <mc:Fallback/>
        </mc:AlternateContent>
        <mc:AlternateContent xmlns:mc="http://schemas.openxmlformats.org/markup-compatibility/2006">
          <mc:Choice Requires="x14">
            <control shapeId="54283" r:id="rId11" name="Spinner 11">
              <controlPr defaultSize="0" autoPict="0">
                <anchor moveWithCells="1" sizeWithCells="1">
                  <from>
                    <xdr:col>1</xdr:col>
                    <xdr:colOff>596900</xdr:colOff>
                    <xdr:row>13</xdr:row>
                    <xdr:rowOff>63500</xdr:rowOff>
                  </from>
                  <to>
                    <xdr:col>2</xdr:col>
                    <xdr:colOff>139700</xdr:colOff>
                    <xdr:row>14</xdr:row>
                    <xdr:rowOff>25400</xdr:rowOff>
                  </to>
                </anchor>
              </controlPr>
            </control>
          </mc:Choice>
          <mc:Fallback/>
        </mc:AlternateContent>
        <mc:AlternateContent xmlns:mc="http://schemas.openxmlformats.org/markup-compatibility/2006">
          <mc:Choice Requires="x14">
            <control shapeId="54284" r:id="rId12" name="Spinner 12">
              <controlPr defaultSize="0" autoPict="0">
                <anchor moveWithCells="1" sizeWithCells="1">
                  <from>
                    <xdr:col>1</xdr:col>
                    <xdr:colOff>596900</xdr:colOff>
                    <xdr:row>14</xdr:row>
                    <xdr:rowOff>63500</xdr:rowOff>
                  </from>
                  <to>
                    <xdr:col>2</xdr:col>
                    <xdr:colOff>139700</xdr:colOff>
                    <xdr:row>15</xdr:row>
                    <xdr:rowOff>25400</xdr:rowOff>
                  </to>
                </anchor>
              </controlPr>
            </control>
          </mc:Choice>
          <mc:Fallback/>
        </mc:AlternateContent>
        <mc:AlternateContent xmlns:mc="http://schemas.openxmlformats.org/markup-compatibility/2006">
          <mc:Choice Requires="x14">
            <control shapeId="54285" r:id="rId13" name="Spinner 13">
              <controlPr defaultSize="0" autoPict="0">
                <anchor moveWithCells="1" sizeWithCells="1">
                  <from>
                    <xdr:col>1</xdr:col>
                    <xdr:colOff>596900</xdr:colOff>
                    <xdr:row>15</xdr:row>
                    <xdr:rowOff>63500</xdr:rowOff>
                  </from>
                  <to>
                    <xdr:col>2</xdr:col>
                    <xdr:colOff>139700</xdr:colOff>
                    <xdr:row>16</xdr:row>
                    <xdr:rowOff>25400</xdr:rowOff>
                  </to>
                </anchor>
              </controlPr>
            </control>
          </mc:Choice>
          <mc:Fallback/>
        </mc:AlternateContent>
        <mc:AlternateContent xmlns:mc="http://schemas.openxmlformats.org/markup-compatibility/2006">
          <mc:Choice Requires="x14">
            <control shapeId="54286" r:id="rId14" name="Spinner 14">
              <controlPr defaultSize="0" autoPict="0">
                <anchor moveWithCells="1" sizeWithCells="1">
                  <from>
                    <xdr:col>1</xdr:col>
                    <xdr:colOff>596900</xdr:colOff>
                    <xdr:row>16</xdr:row>
                    <xdr:rowOff>63500</xdr:rowOff>
                  </from>
                  <to>
                    <xdr:col>2</xdr:col>
                    <xdr:colOff>139700</xdr:colOff>
                    <xdr:row>17</xdr:row>
                    <xdr:rowOff>25400</xdr:rowOff>
                  </to>
                </anchor>
              </controlPr>
            </control>
          </mc:Choice>
          <mc:Fallback/>
        </mc:AlternateContent>
        <mc:AlternateContent xmlns:mc="http://schemas.openxmlformats.org/markup-compatibility/2006">
          <mc:Choice Requires="x14">
            <control shapeId="54287" r:id="rId15" name="Spinner 15">
              <controlPr defaultSize="0" autoPict="0">
                <anchor moveWithCells="1" sizeWithCells="1">
                  <from>
                    <xdr:col>1</xdr:col>
                    <xdr:colOff>596900</xdr:colOff>
                    <xdr:row>17</xdr:row>
                    <xdr:rowOff>63500</xdr:rowOff>
                  </from>
                  <to>
                    <xdr:col>2</xdr:col>
                    <xdr:colOff>139700</xdr:colOff>
                    <xdr:row>18</xdr:row>
                    <xdr:rowOff>25400</xdr:rowOff>
                  </to>
                </anchor>
              </controlPr>
            </control>
          </mc:Choice>
          <mc:Fallback/>
        </mc:AlternateContent>
        <mc:AlternateContent xmlns:mc="http://schemas.openxmlformats.org/markup-compatibility/2006">
          <mc:Choice Requires="x14">
            <control shapeId="54288" r:id="rId16" name="Spinner 16">
              <controlPr defaultSize="0" autoPict="0">
                <anchor moveWithCells="1" sizeWithCells="1">
                  <from>
                    <xdr:col>1</xdr:col>
                    <xdr:colOff>596900</xdr:colOff>
                    <xdr:row>18</xdr:row>
                    <xdr:rowOff>63500</xdr:rowOff>
                  </from>
                  <to>
                    <xdr:col>2</xdr:col>
                    <xdr:colOff>139700</xdr:colOff>
                    <xdr:row>19</xdr:row>
                    <xdr:rowOff>25400</xdr:rowOff>
                  </to>
                </anchor>
              </controlPr>
            </control>
          </mc:Choice>
          <mc:Fallback/>
        </mc:AlternateContent>
        <mc:AlternateContent xmlns:mc="http://schemas.openxmlformats.org/markup-compatibility/2006">
          <mc:Choice Requires="x14">
            <control shapeId="54289" r:id="rId17" name="Spinner 17">
              <controlPr defaultSize="0" autoPict="0">
                <anchor moveWithCells="1" sizeWithCells="1">
                  <from>
                    <xdr:col>1</xdr:col>
                    <xdr:colOff>596900</xdr:colOff>
                    <xdr:row>19</xdr:row>
                    <xdr:rowOff>63500</xdr:rowOff>
                  </from>
                  <to>
                    <xdr:col>2</xdr:col>
                    <xdr:colOff>139700</xdr:colOff>
                    <xdr:row>20</xdr:row>
                    <xdr:rowOff>25400</xdr:rowOff>
                  </to>
                </anchor>
              </controlPr>
            </control>
          </mc:Choice>
          <mc:Fallback/>
        </mc:AlternateContent>
        <mc:AlternateContent xmlns:mc="http://schemas.openxmlformats.org/markup-compatibility/2006">
          <mc:Choice Requires="x14">
            <control shapeId="54290" r:id="rId18" name="Spinner 18">
              <controlPr defaultSize="0" autoPict="0">
                <anchor moveWithCells="1" sizeWithCells="1">
                  <from>
                    <xdr:col>1</xdr:col>
                    <xdr:colOff>596900</xdr:colOff>
                    <xdr:row>20</xdr:row>
                    <xdr:rowOff>63500</xdr:rowOff>
                  </from>
                  <to>
                    <xdr:col>2</xdr:col>
                    <xdr:colOff>139700</xdr:colOff>
                    <xdr:row>21</xdr:row>
                    <xdr:rowOff>25400</xdr:rowOff>
                  </to>
                </anchor>
              </controlPr>
            </control>
          </mc:Choice>
          <mc:Fallback/>
        </mc:AlternateContent>
        <mc:AlternateContent xmlns:mc="http://schemas.openxmlformats.org/markup-compatibility/2006">
          <mc:Choice Requires="x14">
            <control shapeId="54291" r:id="rId19" name="Spinner 19">
              <controlPr defaultSize="0" autoPict="0">
                <anchor moveWithCells="1" sizeWithCells="1">
                  <from>
                    <xdr:col>1</xdr:col>
                    <xdr:colOff>596900</xdr:colOff>
                    <xdr:row>21</xdr:row>
                    <xdr:rowOff>63500</xdr:rowOff>
                  </from>
                  <to>
                    <xdr:col>2</xdr:col>
                    <xdr:colOff>139700</xdr:colOff>
                    <xdr:row>22</xdr:row>
                    <xdr:rowOff>25400</xdr:rowOff>
                  </to>
                </anchor>
              </controlPr>
            </control>
          </mc:Choice>
          <mc:Fallback/>
        </mc:AlternateContent>
        <mc:AlternateContent xmlns:mc="http://schemas.openxmlformats.org/markup-compatibility/2006">
          <mc:Choice Requires="x14">
            <control shapeId="54294" r:id="rId20" name="Spinner 22">
              <controlPr defaultSize="0" autoPict="0">
                <anchor moveWithCells="1" sizeWithCells="1">
                  <from>
                    <xdr:col>1</xdr:col>
                    <xdr:colOff>596900</xdr:colOff>
                    <xdr:row>13</xdr:row>
                    <xdr:rowOff>63500</xdr:rowOff>
                  </from>
                  <to>
                    <xdr:col>2</xdr:col>
                    <xdr:colOff>139700</xdr:colOff>
                    <xdr:row>14</xdr:row>
                    <xdr:rowOff>25400</xdr:rowOff>
                  </to>
                </anchor>
              </controlPr>
            </control>
          </mc:Choice>
          <mc:Fallback/>
        </mc:AlternateContent>
        <mc:AlternateContent xmlns:mc="http://schemas.openxmlformats.org/markup-compatibility/2006">
          <mc:Choice Requires="x14">
            <control shapeId="54295" r:id="rId21" name="Spinner 23">
              <controlPr defaultSize="0" autoPict="0">
                <anchor moveWithCells="1" sizeWithCells="1">
                  <from>
                    <xdr:col>1</xdr:col>
                    <xdr:colOff>596900</xdr:colOff>
                    <xdr:row>14</xdr:row>
                    <xdr:rowOff>63500</xdr:rowOff>
                  </from>
                  <to>
                    <xdr:col>2</xdr:col>
                    <xdr:colOff>139700</xdr:colOff>
                    <xdr:row>15</xdr:row>
                    <xdr:rowOff>25400</xdr:rowOff>
                  </to>
                </anchor>
              </controlPr>
            </control>
          </mc:Choice>
          <mc:Fallback/>
        </mc:AlternateContent>
        <mc:AlternateContent xmlns:mc="http://schemas.openxmlformats.org/markup-compatibility/2006">
          <mc:Choice Requires="x14">
            <control shapeId="54296" r:id="rId22" name="Spinner 24">
              <controlPr defaultSize="0" autoPict="0">
                <anchor moveWithCells="1" sizeWithCells="1">
                  <from>
                    <xdr:col>1</xdr:col>
                    <xdr:colOff>596900</xdr:colOff>
                    <xdr:row>15</xdr:row>
                    <xdr:rowOff>63500</xdr:rowOff>
                  </from>
                  <to>
                    <xdr:col>2</xdr:col>
                    <xdr:colOff>139700</xdr:colOff>
                    <xdr:row>16</xdr:row>
                    <xdr:rowOff>25400</xdr:rowOff>
                  </to>
                </anchor>
              </controlPr>
            </control>
          </mc:Choice>
          <mc:Fallback/>
        </mc:AlternateContent>
        <mc:AlternateContent xmlns:mc="http://schemas.openxmlformats.org/markup-compatibility/2006">
          <mc:Choice Requires="x14">
            <control shapeId="54297" r:id="rId23" name="Spinner 25">
              <controlPr defaultSize="0" autoPict="0">
                <anchor moveWithCells="1" sizeWithCells="1">
                  <from>
                    <xdr:col>1</xdr:col>
                    <xdr:colOff>596900</xdr:colOff>
                    <xdr:row>16</xdr:row>
                    <xdr:rowOff>63500</xdr:rowOff>
                  </from>
                  <to>
                    <xdr:col>2</xdr:col>
                    <xdr:colOff>139700</xdr:colOff>
                    <xdr:row>17</xdr:row>
                    <xdr:rowOff>25400</xdr:rowOff>
                  </to>
                </anchor>
              </controlPr>
            </control>
          </mc:Choice>
          <mc:Fallback/>
        </mc:AlternateContent>
        <mc:AlternateContent xmlns:mc="http://schemas.openxmlformats.org/markup-compatibility/2006">
          <mc:Choice Requires="x14">
            <control shapeId="54298" r:id="rId24" name="Spinner 26">
              <controlPr defaultSize="0" autoPict="0">
                <anchor moveWithCells="1" sizeWithCells="1">
                  <from>
                    <xdr:col>1</xdr:col>
                    <xdr:colOff>596900</xdr:colOff>
                    <xdr:row>17</xdr:row>
                    <xdr:rowOff>63500</xdr:rowOff>
                  </from>
                  <to>
                    <xdr:col>2</xdr:col>
                    <xdr:colOff>139700</xdr:colOff>
                    <xdr:row>18</xdr:row>
                    <xdr:rowOff>25400</xdr:rowOff>
                  </to>
                </anchor>
              </controlPr>
            </control>
          </mc:Choice>
          <mc:Fallback/>
        </mc:AlternateContent>
        <mc:AlternateContent xmlns:mc="http://schemas.openxmlformats.org/markup-compatibility/2006">
          <mc:Choice Requires="x14">
            <control shapeId="54299" r:id="rId25" name="Spinner 27">
              <controlPr defaultSize="0" autoPict="0">
                <anchor moveWithCells="1" sizeWithCells="1">
                  <from>
                    <xdr:col>1</xdr:col>
                    <xdr:colOff>596900</xdr:colOff>
                    <xdr:row>18</xdr:row>
                    <xdr:rowOff>63500</xdr:rowOff>
                  </from>
                  <to>
                    <xdr:col>2</xdr:col>
                    <xdr:colOff>139700</xdr:colOff>
                    <xdr:row>19</xdr:row>
                    <xdr:rowOff>25400</xdr:rowOff>
                  </to>
                </anchor>
              </controlPr>
            </control>
          </mc:Choice>
          <mc:Fallback/>
        </mc:AlternateContent>
        <mc:AlternateContent xmlns:mc="http://schemas.openxmlformats.org/markup-compatibility/2006">
          <mc:Choice Requires="x14">
            <control shapeId="54300" r:id="rId26" name="Spinner 28">
              <controlPr defaultSize="0" autoPict="0">
                <anchor moveWithCells="1" sizeWithCells="1">
                  <from>
                    <xdr:col>1</xdr:col>
                    <xdr:colOff>596900</xdr:colOff>
                    <xdr:row>19</xdr:row>
                    <xdr:rowOff>63500</xdr:rowOff>
                  </from>
                  <to>
                    <xdr:col>2</xdr:col>
                    <xdr:colOff>139700</xdr:colOff>
                    <xdr:row>20</xdr:row>
                    <xdr:rowOff>25400</xdr:rowOff>
                  </to>
                </anchor>
              </controlPr>
            </control>
          </mc:Choice>
          <mc:Fallback/>
        </mc:AlternateContent>
        <mc:AlternateContent xmlns:mc="http://schemas.openxmlformats.org/markup-compatibility/2006">
          <mc:Choice Requires="x14">
            <control shapeId="54301" r:id="rId27" name="Spinner 29">
              <controlPr defaultSize="0" autoPict="0">
                <anchor moveWithCells="1" sizeWithCells="1">
                  <from>
                    <xdr:col>1</xdr:col>
                    <xdr:colOff>596900</xdr:colOff>
                    <xdr:row>20</xdr:row>
                    <xdr:rowOff>63500</xdr:rowOff>
                  </from>
                  <to>
                    <xdr:col>2</xdr:col>
                    <xdr:colOff>139700</xdr:colOff>
                    <xdr:row>21</xdr:row>
                    <xdr:rowOff>25400</xdr:rowOff>
                  </to>
                </anchor>
              </controlPr>
            </control>
          </mc:Choice>
          <mc:Fallback/>
        </mc:AlternateContent>
        <mc:AlternateContent xmlns:mc="http://schemas.openxmlformats.org/markup-compatibility/2006">
          <mc:Choice Requires="x14">
            <control shapeId="54302" r:id="rId28" name="Spinner 30">
              <controlPr defaultSize="0" autoPict="0">
                <anchor moveWithCells="1" sizeWithCells="1">
                  <from>
                    <xdr:col>1</xdr:col>
                    <xdr:colOff>596900</xdr:colOff>
                    <xdr:row>21</xdr:row>
                    <xdr:rowOff>63500</xdr:rowOff>
                  </from>
                  <to>
                    <xdr:col>2</xdr:col>
                    <xdr:colOff>139700</xdr:colOff>
                    <xdr:row>22</xdr:row>
                    <xdr:rowOff>25400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E98"/>
  <sheetViews>
    <sheetView workbookViewId="0"/>
  </sheetViews>
  <sheetFormatPr baseColWidth="10" defaultColWidth="8.83203125" defaultRowHeight="12" x14ac:dyDescent="0"/>
  <cols>
    <col min="1" max="1" width="17.6640625" bestFit="1" customWidth="1"/>
    <col min="2" max="2" width="18.5" bestFit="1" customWidth="1"/>
    <col min="3" max="3" width="28.5" bestFit="1" customWidth="1"/>
    <col min="4" max="4" width="9.6640625" style="14" bestFit="1" customWidth="1"/>
    <col min="5" max="5" width="14.83203125" bestFit="1" customWidth="1"/>
  </cols>
  <sheetData>
    <row r="1" spans="1:4">
      <c r="A1" s="1" t="s">
        <v>162</v>
      </c>
      <c r="B1" s="1" t="s">
        <v>163</v>
      </c>
      <c r="C1" s="1" t="s">
        <v>164</v>
      </c>
      <c r="D1" s="31" t="s">
        <v>165</v>
      </c>
    </row>
    <row r="2" spans="1:4">
      <c r="A2" s="20" t="s">
        <v>168</v>
      </c>
      <c r="B2" s="1"/>
      <c r="C2" s="1"/>
      <c r="D2" s="31"/>
    </row>
    <row r="3" spans="1:4">
      <c r="B3" t="s">
        <v>166</v>
      </c>
    </row>
    <row r="4" spans="1:4">
      <c r="C4" t="s">
        <v>0</v>
      </c>
      <c r="D4" s="14">
        <f>ID!G2</f>
        <v>0</v>
      </c>
    </row>
    <row r="5" spans="1:4">
      <c r="C5" t="s">
        <v>167</v>
      </c>
      <c r="D5" s="14">
        <f>ID!H2</f>
        <v>0</v>
      </c>
    </row>
    <row r="6" spans="1:4">
      <c r="C6" t="s">
        <v>8</v>
      </c>
      <c r="D6" s="14">
        <f>ID!G6-1</f>
        <v>0</v>
      </c>
    </row>
    <row r="7" spans="1:4">
      <c r="C7" t="s">
        <v>3</v>
      </c>
      <c r="D7" s="14">
        <f>ID!H6-1</f>
        <v>0</v>
      </c>
    </row>
    <row r="8" spans="1:4">
      <c r="C8" t="s">
        <v>4</v>
      </c>
      <c r="D8" s="14">
        <f>ID!I6+1948</f>
        <v>1949</v>
      </c>
    </row>
    <row r="9" spans="1:4">
      <c r="B9" t="s">
        <v>169</v>
      </c>
    </row>
    <row r="10" spans="1:4">
      <c r="C10" t="s">
        <v>186</v>
      </c>
      <c r="D10" s="14">
        <f>ConstructingDemandSols!J21</f>
        <v>0</v>
      </c>
    </row>
    <row r="11" spans="1:4">
      <c r="C11" t="s">
        <v>185</v>
      </c>
      <c r="D11" s="14">
        <f>ConstructingDemandSols!J22</f>
        <v>0</v>
      </c>
    </row>
    <row r="12" spans="1:4">
      <c r="C12" t="s">
        <v>187</v>
      </c>
      <c r="D12" s="14">
        <f>ConstructingDemandSols!J23</f>
        <v>0</v>
      </c>
    </row>
    <row r="13" spans="1:4">
      <c r="C13" t="s">
        <v>188</v>
      </c>
      <c r="D13" s="14">
        <f>ConstructingDemandSols!J24</f>
        <v>0</v>
      </c>
    </row>
    <row r="14" spans="1:4">
      <c r="C14" t="s">
        <v>189</v>
      </c>
      <c r="D14" s="14">
        <f>ConstructingDemandSols!J25</f>
        <v>0</v>
      </c>
    </row>
    <row r="15" spans="1:4">
      <c r="C15" t="s">
        <v>191</v>
      </c>
      <c r="D15" s="14">
        <f>ConstructingDemandSols!G26</f>
        <v>0</v>
      </c>
    </row>
    <row r="16" spans="1:4">
      <c r="C16" t="s">
        <v>192</v>
      </c>
      <c r="D16" s="14">
        <f>ConstructingDemandSols!$H$27</f>
        <v>1</v>
      </c>
    </row>
    <row r="17" spans="2:4">
      <c r="C17" t="s">
        <v>174</v>
      </c>
      <c r="D17" s="14">
        <f>ConstructingDemandSols!J37</f>
        <v>0</v>
      </c>
    </row>
    <row r="18" spans="2:4">
      <c r="C18" t="s">
        <v>175</v>
      </c>
      <c r="D18" s="14">
        <f>ConstructingDemandSols!J38</f>
        <v>0</v>
      </c>
    </row>
    <row r="19" spans="2:4">
      <c r="C19" t="s">
        <v>176</v>
      </c>
      <c r="D19" s="14">
        <f>ConstructingDemandSols!J39</f>
        <v>0</v>
      </c>
    </row>
    <row r="20" spans="2:4">
      <c r="C20" t="s">
        <v>177</v>
      </c>
      <c r="D20" s="14">
        <f>ConstructingDemandSols!J40</f>
        <v>0</v>
      </c>
    </row>
    <row r="21" spans="2:4">
      <c r="C21" t="s">
        <v>190</v>
      </c>
      <c r="D21" s="14">
        <f>ConstructingDemandSols!J41</f>
        <v>0</v>
      </c>
    </row>
    <row r="22" spans="2:4">
      <c r="C22" t="s">
        <v>178</v>
      </c>
      <c r="D22" s="14">
        <f>ConstructingDemandSols!G42</f>
        <v>0</v>
      </c>
    </row>
    <row r="23" spans="2:4">
      <c r="C23" t="s">
        <v>179</v>
      </c>
      <c r="D23" s="14">
        <f>ConstructingDemandSols!$H$43</f>
        <v>1</v>
      </c>
    </row>
    <row r="24" spans="2:4">
      <c r="C24" t="s">
        <v>180</v>
      </c>
      <c r="D24" s="14">
        <f>ConstructingDemandSols!$H$50</f>
        <v>1</v>
      </c>
    </row>
    <row r="25" spans="2:4">
      <c r="C25" t="s">
        <v>181</v>
      </c>
      <c r="D25" s="14">
        <f>ConstructingDemandSols!$G$76</f>
        <v>1</v>
      </c>
    </row>
    <row r="26" spans="2:4">
      <c r="C26" t="s">
        <v>182</v>
      </c>
      <c r="D26" s="14">
        <f>ConstructingDemandSols!$G$80</f>
        <v>1</v>
      </c>
    </row>
    <row r="27" spans="2:4">
      <c r="C27" t="s">
        <v>183</v>
      </c>
      <c r="D27" s="14">
        <f>ConstructingDemandSols!$G$84</f>
        <v>1</v>
      </c>
    </row>
    <row r="28" spans="2:4">
      <c r="C28" t="s">
        <v>184</v>
      </c>
      <c r="D28" s="14">
        <f>ConstructingDemandSols!$G$88</f>
        <v>1</v>
      </c>
    </row>
    <row r="29" spans="2:4">
      <c r="B29" t="s">
        <v>170</v>
      </c>
    </row>
    <row r="30" spans="2:4">
      <c r="C30" t="s">
        <v>195</v>
      </c>
      <c r="D30" s="14">
        <f>CSSols!J21</f>
        <v>0</v>
      </c>
    </row>
    <row r="31" spans="2:4">
      <c r="C31" t="s">
        <v>196</v>
      </c>
      <c r="D31" s="14">
        <f>CSSols!J22</f>
        <v>0</v>
      </c>
    </row>
    <row r="32" spans="2:4">
      <c r="C32" t="s">
        <v>197</v>
      </c>
      <c r="D32" s="14">
        <f>CSSols!J23</f>
        <v>0</v>
      </c>
    </row>
    <row r="33" spans="3:4">
      <c r="C33" t="s">
        <v>198</v>
      </c>
      <c r="D33" s="14">
        <f>CSSols!J24</f>
        <v>0</v>
      </c>
    </row>
    <row r="34" spans="3:4">
      <c r="C34" t="s">
        <v>199</v>
      </c>
      <c r="D34" s="14">
        <f>CSSols!J25</f>
        <v>0</v>
      </c>
    </row>
    <row r="35" spans="3:4">
      <c r="C35" t="s">
        <v>200</v>
      </c>
      <c r="D35" s="14">
        <f>CSSols!G26</f>
        <v>1</v>
      </c>
    </row>
    <row r="36" spans="3:4">
      <c r="C36" t="s">
        <v>201</v>
      </c>
      <c r="D36" s="14">
        <f>CSSols!$H$27</f>
        <v>0</v>
      </c>
    </row>
    <row r="37" spans="3:4">
      <c r="C37" t="s">
        <v>202</v>
      </c>
      <c r="D37" s="14">
        <f>CSSols!J37</f>
        <v>0</v>
      </c>
    </row>
    <row r="38" spans="3:4">
      <c r="C38" t="s">
        <v>203</v>
      </c>
      <c r="D38" s="14">
        <f>CSSols!J38</f>
        <v>0</v>
      </c>
    </row>
    <row r="39" spans="3:4">
      <c r="C39" t="s">
        <v>204</v>
      </c>
      <c r="D39" s="14">
        <f>CSSols!J39</f>
        <v>0</v>
      </c>
    </row>
    <row r="40" spans="3:4">
      <c r="C40" t="s">
        <v>205</v>
      </c>
      <c r="D40" s="14">
        <f>CSSols!J40</f>
        <v>0</v>
      </c>
    </row>
    <row r="41" spans="3:4">
      <c r="C41" t="s">
        <v>206</v>
      </c>
      <c r="D41" s="14">
        <f>CSSols!J41</f>
        <v>0</v>
      </c>
    </row>
    <row r="42" spans="3:4">
      <c r="C42" t="s">
        <v>207</v>
      </c>
      <c r="D42" s="14" t="b">
        <f>CSSols!G42</f>
        <v>0</v>
      </c>
    </row>
    <row r="43" spans="3:4">
      <c r="C43" t="s">
        <v>208</v>
      </c>
      <c r="D43" s="14">
        <f>CSSols!$H$43</f>
        <v>0</v>
      </c>
    </row>
    <row r="44" spans="3:4">
      <c r="C44" t="s">
        <v>213</v>
      </c>
      <c r="D44" s="14">
        <f>CSSols!$H$49</f>
        <v>1</v>
      </c>
    </row>
    <row r="45" spans="3:4">
      <c r="C45" t="s">
        <v>209</v>
      </c>
      <c r="D45" s="14">
        <f>CSSols!$G$76</f>
        <v>1</v>
      </c>
    </row>
    <row r="46" spans="3:4">
      <c r="C46" t="s">
        <v>210</v>
      </c>
      <c r="D46" s="14">
        <f>CSSols!$G$80</f>
        <v>1</v>
      </c>
    </row>
    <row r="47" spans="3:4">
      <c r="C47" t="s">
        <v>211</v>
      </c>
      <c r="D47" s="14">
        <f>CSSols!$G$84</f>
        <v>1</v>
      </c>
    </row>
    <row r="48" spans="3:4">
      <c r="C48" t="s">
        <v>212</v>
      </c>
      <c r="D48" s="14">
        <f>CSSols!$G$88</f>
        <v>1</v>
      </c>
    </row>
    <row r="49" spans="2:4">
      <c r="B49" t="s">
        <v>171</v>
      </c>
    </row>
    <row r="50" spans="2:4">
      <c r="C50" t="s">
        <v>214</v>
      </c>
      <c r="D50" s="14">
        <f>TradeSols!F24</f>
        <v>0</v>
      </c>
    </row>
    <row r="51" spans="2:4">
      <c r="C51" t="s">
        <v>215</v>
      </c>
      <c r="D51" s="14">
        <f>TradeSols!F25</f>
        <v>0</v>
      </c>
    </row>
    <row r="52" spans="2:4">
      <c r="C52" t="s">
        <v>216</v>
      </c>
      <c r="D52" s="14">
        <f>TradeSols!F26</f>
        <v>0</v>
      </c>
    </row>
    <row r="53" spans="2:4">
      <c r="C53" t="s">
        <v>217</v>
      </c>
      <c r="D53" s="14">
        <f>TradeSols!F27</f>
        <v>0</v>
      </c>
    </row>
    <row r="54" spans="2:4">
      <c r="C54" t="s">
        <v>218</v>
      </c>
      <c r="D54" s="14">
        <f>TradeSols!F28</f>
        <v>0</v>
      </c>
    </row>
    <row r="55" spans="2:4">
      <c r="C55" t="s">
        <v>219</v>
      </c>
      <c r="D55" s="14">
        <f>TradeSols!H24</f>
        <v>0</v>
      </c>
    </row>
    <row r="56" spans="2:4">
      <c r="C56" t="s">
        <v>220</v>
      </c>
      <c r="D56" s="14">
        <f>TradeSols!H25</f>
        <v>0</v>
      </c>
    </row>
    <row r="57" spans="2:4">
      <c r="C57" t="s">
        <v>221</v>
      </c>
      <c r="D57" s="14">
        <f>TradeSols!H26</f>
        <v>0</v>
      </c>
    </row>
    <row r="58" spans="2:4">
      <c r="C58" t="s">
        <v>222</v>
      </c>
      <c r="D58" s="14">
        <f>TradeSols!H27</f>
        <v>0</v>
      </c>
    </row>
    <row r="59" spans="2:4">
      <c r="C59" t="s">
        <v>223</v>
      </c>
      <c r="D59" s="14">
        <f>TradeSols!H28</f>
        <v>0</v>
      </c>
    </row>
    <row r="60" spans="2:4">
      <c r="C60" t="s">
        <v>224</v>
      </c>
      <c r="D60" s="14">
        <f>TradeSols!$G$48</f>
        <v>1</v>
      </c>
    </row>
    <row r="61" spans="2:4">
      <c r="C61" t="s">
        <v>225</v>
      </c>
      <c r="D61" s="14">
        <f>TradeSols!$G$55</f>
        <v>1</v>
      </c>
    </row>
    <row r="62" spans="2:4">
      <c r="C62" t="s">
        <v>226</v>
      </c>
      <c r="D62" s="14">
        <f>TradeSols!F69</f>
        <v>0</v>
      </c>
    </row>
    <row r="63" spans="2:4">
      <c r="C63" t="s">
        <v>227</v>
      </c>
      <c r="D63" s="14">
        <f>TradeSols!F70</f>
        <v>0</v>
      </c>
    </row>
    <row r="64" spans="2:4">
      <c r="C64" t="s">
        <v>228</v>
      </c>
      <c r="D64" s="14">
        <f>TradeSols!F71</f>
        <v>0</v>
      </c>
    </row>
    <row r="65" spans="2:4">
      <c r="C65" t="s">
        <v>229</v>
      </c>
      <c r="D65" s="14">
        <f>TradeSols!F72</f>
        <v>0</v>
      </c>
    </row>
    <row r="66" spans="2:4">
      <c r="C66" t="s">
        <v>230</v>
      </c>
      <c r="D66" s="14">
        <f>TradeSols!F73</f>
        <v>0</v>
      </c>
    </row>
    <row r="67" spans="2:4">
      <c r="C67" t="s">
        <v>231</v>
      </c>
      <c r="D67" s="14">
        <f>TradeSols!H69</f>
        <v>0</v>
      </c>
    </row>
    <row r="68" spans="2:4">
      <c r="C68" t="s">
        <v>232</v>
      </c>
      <c r="D68" s="14">
        <f>TradeSols!H70</f>
        <v>0</v>
      </c>
    </row>
    <row r="69" spans="2:4">
      <c r="C69" t="s">
        <v>233</v>
      </c>
      <c r="D69" s="14">
        <f>TradeSols!H71</f>
        <v>0</v>
      </c>
    </row>
    <row r="70" spans="2:4">
      <c r="C70" t="s">
        <v>234</v>
      </c>
      <c r="D70" s="14">
        <f>TradeSols!H72</f>
        <v>0</v>
      </c>
    </row>
    <row r="71" spans="2:4">
      <c r="C71" t="s">
        <v>235</v>
      </c>
      <c r="D71" s="14">
        <f>TradeSols!H73</f>
        <v>0</v>
      </c>
    </row>
    <row r="72" spans="2:4">
      <c r="C72" t="s">
        <v>236</v>
      </c>
      <c r="D72" s="14">
        <f>TradeSols!$H$97</f>
        <v>1</v>
      </c>
    </row>
    <row r="73" spans="2:4">
      <c r="C73" t="s">
        <v>237</v>
      </c>
      <c r="D73" s="14">
        <f>TradeSols!$H$100</f>
        <v>1</v>
      </c>
    </row>
    <row r="74" spans="2:4">
      <c r="C74" t="s">
        <v>238</v>
      </c>
      <c r="D74" s="14">
        <f>TradeSols!$H$106</f>
        <v>1</v>
      </c>
    </row>
    <row r="75" spans="2:4">
      <c r="B75" t="s">
        <v>172</v>
      </c>
    </row>
    <row r="76" spans="2:4">
      <c r="C76" t="s">
        <v>239</v>
      </c>
      <c r="D76" s="14">
        <f>ScalSols!$J$36</f>
        <v>1</v>
      </c>
    </row>
    <row r="77" spans="2:4">
      <c r="C77" t="s">
        <v>240</v>
      </c>
      <c r="D77" s="14">
        <f>ScalSols!$J$40</f>
        <v>1</v>
      </c>
    </row>
    <row r="78" spans="2:4">
      <c r="C78" t="s">
        <v>241</v>
      </c>
      <c r="D78" s="14">
        <f>ScalSols!$J$44</f>
        <v>1</v>
      </c>
    </row>
    <row r="79" spans="2:4">
      <c r="C79" t="s">
        <v>242</v>
      </c>
      <c r="D79" s="14">
        <f>ScalSols!$J$51</f>
        <v>1</v>
      </c>
    </row>
    <row r="80" spans="2:4">
      <c r="C80" t="s">
        <v>243</v>
      </c>
      <c r="D80" s="14">
        <f>ScalSols!$J$59</f>
        <v>1</v>
      </c>
    </row>
    <row r="81" spans="2:5">
      <c r="C81" t="s">
        <v>244</v>
      </c>
      <c r="D81" s="14">
        <f>ScalSols!$J$70</f>
        <v>1</v>
      </c>
    </row>
    <row r="82" spans="2:5">
      <c r="C82" t="s">
        <v>245</v>
      </c>
      <c r="D82" s="14">
        <f>ScalSols!$J$75</f>
        <v>1</v>
      </c>
    </row>
    <row r="83" spans="2:5">
      <c r="C83" t="s">
        <v>246</v>
      </c>
      <c r="D83" s="14">
        <f>ScalSols!$J$80</f>
        <v>1</v>
      </c>
    </row>
    <row r="84" spans="2:5">
      <c r="B84" t="s">
        <v>173</v>
      </c>
    </row>
    <row r="85" spans="2:5">
      <c r="C85" t="s">
        <v>247</v>
      </c>
      <c r="D85" s="14">
        <f>MarketMaker!E13</f>
        <v>-10</v>
      </c>
      <c r="E85">
        <f>MarketMaker!G13</f>
        <v>0</v>
      </c>
    </row>
    <row r="86" spans="2:5">
      <c r="C86" t="s">
        <v>248</v>
      </c>
      <c r="D86" s="14">
        <f>MarketMaker!E14</f>
        <v>-10</v>
      </c>
      <c r="E86">
        <f>MarketMaker!G14</f>
        <v>0</v>
      </c>
    </row>
    <row r="87" spans="2:5">
      <c r="C87" t="s">
        <v>249</v>
      </c>
      <c r="D87" s="14">
        <f>MarketMaker!E15</f>
        <v>-10</v>
      </c>
      <c r="E87">
        <f>MarketMaker!G15</f>
        <v>0</v>
      </c>
    </row>
    <row r="88" spans="2:5">
      <c r="C88" t="s">
        <v>250</v>
      </c>
      <c r="D88" s="14">
        <f>MarketMaker!E16</f>
        <v>-10</v>
      </c>
      <c r="E88">
        <f>MarketMaker!G16</f>
        <v>0</v>
      </c>
    </row>
    <row r="89" spans="2:5">
      <c r="C89" t="s">
        <v>251</v>
      </c>
      <c r="D89" s="14">
        <f>MarketMaker!E17</f>
        <v>-10</v>
      </c>
      <c r="E89">
        <f>MarketMaker!G17</f>
        <v>0</v>
      </c>
    </row>
    <row r="90" spans="2:5">
      <c r="C90" t="s">
        <v>252</v>
      </c>
      <c r="D90" s="14">
        <f>MarketMaker!E18</f>
        <v>-10</v>
      </c>
      <c r="E90">
        <f>MarketMaker!G18</f>
        <v>0</v>
      </c>
    </row>
    <row r="91" spans="2:5">
      <c r="C91" t="s">
        <v>253</v>
      </c>
      <c r="D91" s="14">
        <f>MarketMaker!E19</f>
        <v>-10</v>
      </c>
      <c r="E91">
        <f>MarketMaker!G19</f>
        <v>0</v>
      </c>
    </row>
    <row r="92" spans="2:5">
      <c r="C92" t="s">
        <v>254</v>
      </c>
      <c r="D92" s="14">
        <f>MarketMaker!E20</f>
        <v>-10</v>
      </c>
      <c r="E92">
        <f>MarketMaker!G20</f>
        <v>0</v>
      </c>
    </row>
    <row r="93" spans="2:5">
      <c r="C93" t="s">
        <v>255</v>
      </c>
      <c r="D93" s="14">
        <f>MarketMaker!E21</f>
        <v>-10</v>
      </c>
      <c r="E93">
        <f>MarketMaker!G21</f>
        <v>0</v>
      </c>
    </row>
    <row r="94" spans="2:5">
      <c r="C94" t="s">
        <v>256</v>
      </c>
      <c r="D94" s="14">
        <f>MarketMaker!E22</f>
        <v>-10</v>
      </c>
      <c r="E94" s="14">
        <f>MarketMaker!G22</f>
        <v>0</v>
      </c>
    </row>
    <row r="95" spans="2:5">
      <c r="C95" t="s">
        <v>257</v>
      </c>
      <c r="D95" s="14">
        <f>MMSols!$F$32</f>
        <v>1</v>
      </c>
    </row>
    <row r="96" spans="2:5">
      <c r="C96" t="s">
        <v>258</v>
      </c>
      <c r="D96" s="14">
        <f>MMSols!$F$37</f>
        <v>1</v>
      </c>
    </row>
    <row r="97" spans="3:4">
      <c r="C97" t="s">
        <v>259</v>
      </c>
      <c r="D97" s="14">
        <f>MMSols!$F$42</f>
        <v>1</v>
      </c>
    </row>
    <row r="98" spans="3:4">
      <c r="C98" t="s">
        <v>260</v>
      </c>
      <c r="D98" s="14">
        <f>MMSols!$F$47</f>
        <v>1</v>
      </c>
    </row>
  </sheetData>
  <sheetProtection selectLockedCells="1" selectUnlockedCells="1"/>
  <phoneticPr fontId="8"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dimension ref="A1:J54"/>
  <sheetViews>
    <sheetView workbookViewId="0"/>
  </sheetViews>
  <sheetFormatPr baseColWidth="10" defaultColWidth="8.83203125" defaultRowHeight="12" x14ac:dyDescent="0"/>
  <sheetData>
    <row r="1" spans="2:10" ht="12.75" customHeight="1">
      <c r="B1" s="200" t="s">
        <v>315</v>
      </c>
      <c r="C1" s="199"/>
      <c r="D1" s="199"/>
      <c r="E1" s="199"/>
      <c r="F1" s="199"/>
      <c r="G1" s="199"/>
      <c r="H1" s="199"/>
    </row>
    <row r="2" spans="2:10">
      <c r="B2" s="199"/>
      <c r="C2" s="199"/>
      <c r="D2" s="199"/>
      <c r="E2" s="199"/>
      <c r="F2" s="199"/>
      <c r="G2" s="199"/>
      <c r="H2" s="199"/>
    </row>
    <row r="3" spans="2:10">
      <c r="B3" s="199"/>
      <c r="C3" s="199"/>
      <c r="D3" s="199"/>
      <c r="E3" s="199"/>
      <c r="F3" s="199"/>
      <c r="G3" s="199"/>
      <c r="H3" s="199"/>
    </row>
    <row r="4" spans="2:10">
      <c r="B4" s="199"/>
      <c r="C4" s="199"/>
      <c r="D4" s="199"/>
      <c r="E4" s="199"/>
      <c r="F4" s="199"/>
      <c r="G4" s="199"/>
      <c r="H4" s="199"/>
    </row>
    <row r="5" spans="2:10">
      <c r="B5" s="199"/>
      <c r="C5" s="199"/>
      <c r="D5" s="199"/>
      <c r="E5" s="199"/>
      <c r="F5" s="199"/>
      <c r="G5" s="199"/>
      <c r="H5" s="199"/>
    </row>
    <row r="6" spans="2:10">
      <c r="B6" s="199"/>
      <c r="C6" s="199"/>
      <c r="D6" s="199"/>
      <c r="E6" s="199"/>
      <c r="F6" s="199"/>
      <c r="G6" s="199"/>
      <c r="H6" s="199"/>
    </row>
    <row r="7" spans="2:10">
      <c r="B7" s="199"/>
      <c r="C7" s="199"/>
      <c r="D7" s="199"/>
      <c r="E7" s="199"/>
      <c r="F7" s="199"/>
      <c r="G7" s="199"/>
      <c r="H7" s="199"/>
    </row>
    <row r="8" spans="2:10">
      <c r="B8" s="199"/>
      <c r="C8" s="199"/>
      <c r="D8" s="199"/>
      <c r="E8" s="199"/>
      <c r="F8" s="199"/>
      <c r="G8" s="199"/>
      <c r="H8" s="199"/>
    </row>
    <row r="9" spans="2:10">
      <c r="B9" s="199"/>
      <c r="C9" s="199"/>
      <c r="D9" s="199"/>
      <c r="E9" s="199"/>
      <c r="F9" s="199"/>
      <c r="G9" s="199"/>
      <c r="H9" s="199"/>
    </row>
    <row r="10" spans="2:10">
      <c r="B10" s="199"/>
      <c r="C10" s="199"/>
      <c r="D10" s="199"/>
      <c r="E10" s="199"/>
      <c r="F10" s="199"/>
      <c r="G10" s="199"/>
      <c r="H10" s="199"/>
    </row>
    <row r="12" spans="2:10">
      <c r="B12" s="13" t="s">
        <v>145</v>
      </c>
      <c r="C12" s="13" t="s">
        <v>146</v>
      </c>
      <c r="D12" s="13" t="s">
        <v>147</v>
      </c>
      <c r="E12" s="13" t="s">
        <v>86</v>
      </c>
      <c r="F12" s="27"/>
      <c r="J12">
        <f>VALUE(RIGHT(ID!C29+ID!D29+ID!G6+ID!H6+ID!I6))</f>
        <v>3</v>
      </c>
    </row>
    <row r="13" spans="2:10">
      <c r="B13">
        <v>1</v>
      </c>
      <c r="C13">
        <f t="shared" ref="C13:C22" si="0">IF($B$26&gt;B13,E13*E13,-10)</f>
        <v>-10</v>
      </c>
      <c r="D13">
        <f>IF($B$26&gt;B13,I$13-J$13*E13,-10)</f>
        <v>-10</v>
      </c>
      <c r="E13" s="27">
        <f>MarketMaker!C13</f>
        <v>6</v>
      </c>
      <c r="F13" s="27"/>
      <c r="G13" s="114">
        <f>IF(AND(B$26&gt;B13,C13&gt;D13),"Excess Supply",IF(AND(B$26&gt;B13,C13&lt;D13),"Excess Demand",IF(AND(B$26&gt;B13,C13=D13),"Equilibrium",0)))</f>
        <v>0</v>
      </c>
      <c r="I13">
        <f>IF(OR(J12=0,J12=1),829.44,IF(OR(J12=2,J12=3),973.44,IF(OR(J12=4,J12=5),1049.76,IF(OR(J12=6,J12=7),1128.96,1211.04))))</f>
        <v>973.44</v>
      </c>
      <c r="J13">
        <f>IF(OR(J12=0,J12=1),24,IF(OR(J12=2,J12=3),26,IF(OR(J12=4,J12=5),27,IF(OR(J12=6,J12=7),28,29))))</f>
        <v>26</v>
      </c>
    </row>
    <row r="14" spans="2:10">
      <c r="B14">
        <f t="shared" ref="B14:B22" si="1">B13+1</f>
        <v>2</v>
      </c>
      <c r="C14">
        <f t="shared" si="0"/>
        <v>-10</v>
      </c>
      <c r="D14">
        <f t="shared" ref="D14:D22" si="2">IF($B$26&gt;B14,I$13-J$13*E14,-10)</f>
        <v>-10</v>
      </c>
      <c r="E14" s="27">
        <f>MarketMaker!C14</f>
        <v>-10</v>
      </c>
      <c r="F14" s="27"/>
      <c r="G14" s="114">
        <f t="shared" ref="G14:G22" si="3">IF(AND(B$26&gt;B14,C14&gt;D14),"Excess Supply",IF(AND(B$26&gt;B14,C14&lt;D14),"Excess Demand",IF(AND(B$26&gt;B14,C14=D14),"Equilibrium",0)))</f>
        <v>0</v>
      </c>
    </row>
    <row r="15" spans="2:10">
      <c r="B15">
        <f t="shared" si="1"/>
        <v>3</v>
      </c>
      <c r="C15">
        <f t="shared" si="0"/>
        <v>-10</v>
      </c>
      <c r="D15">
        <f t="shared" si="2"/>
        <v>-10</v>
      </c>
      <c r="E15" s="27">
        <f>MarketMaker!C15</f>
        <v>-10</v>
      </c>
      <c r="F15" s="27"/>
      <c r="G15" s="114">
        <f t="shared" si="3"/>
        <v>0</v>
      </c>
    </row>
    <row r="16" spans="2:10">
      <c r="B16">
        <f t="shared" si="1"/>
        <v>4</v>
      </c>
      <c r="C16">
        <f t="shared" si="0"/>
        <v>-10</v>
      </c>
      <c r="D16">
        <f t="shared" si="2"/>
        <v>-10</v>
      </c>
      <c r="E16" s="27">
        <f>MarketMaker!C16</f>
        <v>-10</v>
      </c>
      <c r="F16" s="27"/>
      <c r="G16" s="114">
        <f t="shared" si="3"/>
        <v>0</v>
      </c>
    </row>
    <row r="17" spans="1:10">
      <c r="B17">
        <f t="shared" si="1"/>
        <v>5</v>
      </c>
      <c r="C17">
        <f t="shared" si="0"/>
        <v>-10</v>
      </c>
      <c r="D17">
        <f t="shared" si="2"/>
        <v>-10</v>
      </c>
      <c r="E17" s="27">
        <f>MarketMaker!C17</f>
        <v>-10</v>
      </c>
      <c r="F17" s="27"/>
      <c r="G17" s="114">
        <f t="shared" si="3"/>
        <v>0</v>
      </c>
    </row>
    <row r="18" spans="1:10">
      <c r="B18">
        <f t="shared" si="1"/>
        <v>6</v>
      </c>
      <c r="C18">
        <f t="shared" si="0"/>
        <v>-10</v>
      </c>
      <c r="D18">
        <f t="shared" si="2"/>
        <v>-10</v>
      </c>
      <c r="E18" s="27">
        <f>MarketMaker!C18</f>
        <v>-10</v>
      </c>
      <c r="F18" s="27"/>
      <c r="G18" s="114">
        <f t="shared" si="3"/>
        <v>0</v>
      </c>
    </row>
    <row r="19" spans="1:10">
      <c r="B19">
        <f t="shared" si="1"/>
        <v>7</v>
      </c>
      <c r="C19">
        <f t="shared" si="0"/>
        <v>-10</v>
      </c>
      <c r="D19">
        <f t="shared" si="2"/>
        <v>-10</v>
      </c>
      <c r="E19" s="27">
        <f>MarketMaker!C19</f>
        <v>-10</v>
      </c>
      <c r="F19" s="27"/>
      <c r="G19" s="114">
        <f t="shared" si="3"/>
        <v>0</v>
      </c>
    </row>
    <row r="20" spans="1:10">
      <c r="B20">
        <f t="shared" si="1"/>
        <v>8</v>
      </c>
      <c r="C20">
        <f t="shared" si="0"/>
        <v>-10</v>
      </c>
      <c r="D20">
        <f t="shared" si="2"/>
        <v>-10</v>
      </c>
      <c r="E20" s="27">
        <f>MarketMaker!C20</f>
        <v>-10</v>
      </c>
      <c r="F20" s="27"/>
      <c r="G20" s="114">
        <f t="shared" si="3"/>
        <v>0</v>
      </c>
    </row>
    <row r="21" spans="1:10">
      <c r="B21">
        <f t="shared" si="1"/>
        <v>9</v>
      </c>
      <c r="C21">
        <f t="shared" si="0"/>
        <v>-10</v>
      </c>
      <c r="D21">
        <f t="shared" si="2"/>
        <v>-10</v>
      </c>
      <c r="E21" s="27">
        <f>MarketMaker!C21</f>
        <v>-10</v>
      </c>
      <c r="F21" s="27"/>
      <c r="G21" s="114">
        <f t="shared" si="3"/>
        <v>0</v>
      </c>
    </row>
    <row r="22" spans="1:10">
      <c r="B22">
        <f t="shared" si="1"/>
        <v>10</v>
      </c>
      <c r="C22">
        <f t="shared" si="0"/>
        <v>-10</v>
      </c>
      <c r="D22">
        <f t="shared" si="2"/>
        <v>-10</v>
      </c>
      <c r="E22" s="27">
        <f>MarketMaker!C22</f>
        <v>-10</v>
      </c>
      <c r="F22" s="27"/>
      <c r="G22" s="114">
        <f t="shared" si="3"/>
        <v>0</v>
      </c>
    </row>
    <row r="23" spans="1:10">
      <c r="F23" s="27"/>
      <c r="H23" s="27">
        <v>-10</v>
      </c>
    </row>
    <row r="24" spans="1:10">
      <c r="F24" s="27"/>
    </row>
    <row r="25" spans="1:10">
      <c r="B25" s="13" t="s">
        <v>148</v>
      </c>
      <c r="C25" s="13" t="s">
        <v>150</v>
      </c>
      <c r="D25" t="s">
        <v>149</v>
      </c>
      <c r="F25" s="27"/>
    </row>
    <row r="26" spans="1:10">
      <c r="A26">
        <f>MarketMaker!A26</f>
        <v>10</v>
      </c>
      <c r="B26" s="27">
        <f>MarketMaker!B26+1</f>
        <v>1</v>
      </c>
      <c r="C26" s="28">
        <f>0.2*A26</f>
        <v>2</v>
      </c>
    </row>
    <row r="27" spans="1:10">
      <c r="B27" s="27"/>
      <c r="C27" s="28"/>
    </row>
    <row r="28" spans="1:10">
      <c r="B28" s="27"/>
    </row>
    <row r="29" spans="1:10">
      <c r="B29" s="27"/>
    </row>
    <row r="30" spans="1:10">
      <c r="C30">
        <f>IF(B26=1,0,IF(OR(G13="Equilibrium",G14="Equilibrium",G15="Equilibrium",G16="Equilibrium",G13="Equilibrium",G17="Equilibrium"),"Correct",IF(OR(G18="Equilibrium",G19="Equilibrium",G20="Equilibrium",G21="Equilibrium",G22="Equilibrium",G23="Equilibrium"),"Correct","Incorrect")))</f>
        <v>0</v>
      </c>
    </row>
    <row r="31" spans="1:10">
      <c r="B31">
        <f>IF(NOT(C30="Correct"),0,"The expression Excess Demand means")</f>
        <v>0</v>
      </c>
    </row>
    <row r="32" spans="1:10">
      <c r="F32" s="111">
        <v>1</v>
      </c>
      <c r="J32" t="s">
        <v>151</v>
      </c>
    </row>
    <row r="33" spans="2:10">
      <c r="F33">
        <v>3</v>
      </c>
      <c r="J33" t="s">
        <v>152</v>
      </c>
    </row>
    <row r="34" spans="2:10">
      <c r="B34" s="29">
        <f>IF(OR(F32=1,NOT(C30="Correct")),0,IF(F32=F33,"Correct","Incorrect"))</f>
        <v>0</v>
      </c>
    </row>
    <row r="36" spans="2:10">
      <c r="B36" s="16">
        <f>IF(NOT(B34="Correct"),0,"When there is Excess Supply lowering the price")</f>
        <v>0</v>
      </c>
    </row>
    <row r="37" spans="2:10">
      <c r="F37" s="111">
        <v>1</v>
      </c>
      <c r="J37" t="s">
        <v>154</v>
      </c>
    </row>
    <row r="38" spans="2:10">
      <c r="F38">
        <v>3</v>
      </c>
      <c r="J38" t="s">
        <v>153</v>
      </c>
    </row>
    <row r="39" spans="2:10">
      <c r="B39" s="29">
        <f>IF(OR(F37=1,NOT(B34="Correct")),0,IF(F37=F38,"Correct","Incorrect"))</f>
        <v>0</v>
      </c>
    </row>
    <row r="41" spans="2:10">
      <c r="B41" s="16">
        <f>IF(NOT(B39="Correct"),0,"If there is Excess Demand at one price and Excess Supply at a higher price, then the equilibrium price")</f>
        <v>0</v>
      </c>
    </row>
    <row r="42" spans="2:10">
      <c r="F42" s="111">
        <v>1</v>
      </c>
    </row>
    <row r="43" spans="2:10">
      <c r="F43">
        <v>3</v>
      </c>
      <c r="J43" t="s">
        <v>156</v>
      </c>
    </row>
    <row r="44" spans="2:10">
      <c r="B44" s="29">
        <f>IF(OR(F42=1,NOT(B39="Correct")),0,IF(F42=F43,"Correct","Incorrect"))</f>
        <v>0</v>
      </c>
      <c r="J44" t="s">
        <v>155</v>
      </c>
    </row>
    <row r="45" spans="2:10">
      <c r="J45" t="s">
        <v>157</v>
      </c>
    </row>
    <row r="46" spans="2:10">
      <c r="B46" s="16">
        <f>IF(NOT(B44="Correct"),0,"The underlying explanation for all of this is")</f>
        <v>0</v>
      </c>
    </row>
    <row r="47" spans="2:10">
      <c r="F47" s="111">
        <v>1</v>
      </c>
      <c r="J47" t="s">
        <v>158</v>
      </c>
    </row>
    <row r="48" spans="2:10">
      <c r="F48">
        <v>5</v>
      </c>
      <c r="J48" t="s">
        <v>159</v>
      </c>
    </row>
    <row r="49" spans="1:10">
      <c r="B49" s="29">
        <f>IF(OR(F47=1,NOT(B44="Correct")),0,IF(F47=F48,"Correct","Incorrect"))</f>
        <v>0</v>
      </c>
      <c r="J49" t="s">
        <v>160</v>
      </c>
    </row>
    <row r="50" spans="1:10">
      <c r="J50" t="s">
        <v>161</v>
      </c>
    </row>
    <row r="51" spans="1:10" ht="15">
      <c r="A51">
        <f>ConstructingDemand!E92</f>
        <v>0</v>
      </c>
      <c r="B51" s="30">
        <f>IF(AND(B49="Correct",NOT(A51=0),NOT(A52=0),NOT(A53=0),NOT(A54=0)),CONCATENATE("Congratulations ",Login!F7,"!  You have completed the Supply and Demand Module."),0)</f>
        <v>0</v>
      </c>
    </row>
    <row r="52" spans="1:10">
      <c r="A52">
        <f>ConstructingSupply!E92</f>
        <v>0</v>
      </c>
    </row>
    <row r="53" spans="1:10">
      <c r="A53">
        <f>TradeSols!E131</f>
        <v>0</v>
      </c>
    </row>
    <row r="54" spans="1:10">
      <c r="A54">
        <f>ScalSols!K90</f>
        <v>0</v>
      </c>
    </row>
  </sheetData>
  <mergeCells count="1">
    <mergeCell ref="B1:H10"/>
  </mergeCells>
  <phoneticPr fontId="8" type="noConversion"/>
  <conditionalFormatting sqref="D13:D22">
    <cfRule type="cellIs" dxfId="8" priority="1" stopIfTrue="1" operator="equal">
      <formula>-10</formula>
    </cfRule>
  </conditionalFormatting>
  <conditionalFormatting sqref="G13:G22">
    <cfRule type="cellIs" dxfId="7" priority="2" stopIfTrue="1" operator="equal">
      <formula>"Excess Supply"</formula>
    </cfRule>
    <cfRule type="cellIs" dxfId="6" priority="3" stopIfTrue="1" operator="equal">
      <formula>"Excess Demand"</formula>
    </cfRule>
    <cfRule type="cellIs" dxfId="5" priority="4" stopIfTrue="1" operator="equal">
      <formula>"Equilibrium"</formula>
    </cfRule>
  </conditionalFormatting>
  <conditionalFormatting sqref="C13:C22 H23 E13:E22">
    <cfRule type="cellIs" dxfId="4" priority="5" stopIfTrue="1" operator="equal">
      <formula>-10</formula>
    </cfRule>
  </conditionalFormatting>
  <conditionalFormatting sqref="B34 B39 B44 B49">
    <cfRule type="cellIs" dxfId="3" priority="6" stopIfTrue="1" operator="equal">
      <formula>"Incorrect"</formula>
    </cfRule>
  </conditionalFormatting>
  <conditionalFormatting sqref="B51">
    <cfRule type="cellIs" dxfId="2" priority="7" stopIfTrue="1" operator="equal">
      <formula>0</formula>
    </cfRule>
  </conditionalFormatting>
  <pageMargins left="0.75" right="0.75" top="1" bottom="1" header="0.5" footer="0.5"/>
  <pageSetup orientation="portrait" horizontalDpi="200" verticalDpi="2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5299" r:id="rId3" name="Drop Down 3">
              <controlPr defaultSize="0" autoLine="0" autoPict="0">
                <anchor moveWithCells="1">
                  <from>
                    <xdr:col>1</xdr:col>
                    <xdr:colOff>0</xdr:colOff>
                    <xdr:row>31</xdr:row>
                    <xdr:rowOff>0</xdr:rowOff>
                  </from>
                  <to>
                    <xdr:col>3</xdr:col>
                    <xdr:colOff>241300</xdr:colOff>
                    <xdr:row>32</xdr:row>
                    <xdr:rowOff>38100</xdr:rowOff>
                  </to>
                </anchor>
              </controlPr>
            </control>
          </mc:Choice>
          <mc:Fallback/>
        </mc:AlternateContent>
        <mc:AlternateContent xmlns:mc="http://schemas.openxmlformats.org/markup-compatibility/2006">
          <mc:Choice Requires="x14">
            <control shapeId="55300" r:id="rId4" name="Drop Down 4">
              <controlPr defaultSize="0" autoLine="0" autoPict="0">
                <anchor moveWithCells="1">
                  <from>
                    <xdr:col>1</xdr:col>
                    <xdr:colOff>0</xdr:colOff>
                    <xdr:row>36</xdr:row>
                    <xdr:rowOff>0</xdr:rowOff>
                  </from>
                  <to>
                    <xdr:col>3</xdr:col>
                    <xdr:colOff>266700</xdr:colOff>
                    <xdr:row>37</xdr:row>
                    <xdr:rowOff>50800</xdr:rowOff>
                  </to>
                </anchor>
              </controlPr>
            </control>
          </mc:Choice>
          <mc:Fallback/>
        </mc:AlternateContent>
        <mc:AlternateContent xmlns:mc="http://schemas.openxmlformats.org/markup-compatibility/2006">
          <mc:Choice Requires="x14">
            <control shapeId="55301" r:id="rId5" name="Drop Down 5">
              <controlPr defaultSize="0" autoLine="0" autoPict="0">
                <anchor moveWithCells="1">
                  <from>
                    <xdr:col>1</xdr:col>
                    <xdr:colOff>0</xdr:colOff>
                    <xdr:row>41</xdr:row>
                    <xdr:rowOff>0</xdr:rowOff>
                  </from>
                  <to>
                    <xdr:col>3</xdr:col>
                    <xdr:colOff>266700</xdr:colOff>
                    <xdr:row>42</xdr:row>
                    <xdr:rowOff>50800</xdr:rowOff>
                  </to>
                </anchor>
              </controlPr>
            </control>
          </mc:Choice>
          <mc:Fallback/>
        </mc:AlternateContent>
        <mc:AlternateContent xmlns:mc="http://schemas.openxmlformats.org/markup-compatibility/2006">
          <mc:Choice Requires="x14">
            <control shapeId="55302" r:id="rId6" name="Drop Down 6">
              <controlPr defaultSize="0" autoLine="0" autoPict="0">
                <anchor moveWithCells="1">
                  <from>
                    <xdr:col>1</xdr:col>
                    <xdr:colOff>0</xdr:colOff>
                    <xdr:row>46</xdr:row>
                    <xdr:rowOff>0</xdr:rowOff>
                  </from>
                  <to>
                    <xdr:col>4</xdr:col>
                    <xdr:colOff>317500</xdr:colOff>
                    <xdr:row>47</xdr:row>
                    <xdr:rowOff>50800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1"/>
  <sheetViews>
    <sheetView workbookViewId="0"/>
  </sheetViews>
  <sheetFormatPr baseColWidth="10" defaultColWidth="8.83203125" defaultRowHeight="12" x14ac:dyDescent="0"/>
  <sheetData/>
  <phoneticPr fontId="8"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dimension ref="A1:L90"/>
  <sheetViews>
    <sheetView topLeftCell="A54" workbookViewId="0">
      <selection activeCell="E81" sqref="E81"/>
    </sheetView>
  </sheetViews>
  <sheetFormatPr baseColWidth="10" defaultColWidth="8.83203125" defaultRowHeight="12" x14ac:dyDescent="0"/>
  <cols>
    <col min="1" max="1" width="8.83203125" style="15"/>
    <col min="2" max="2" width="16.33203125" bestFit="1" customWidth="1"/>
    <col min="3" max="3" width="15.5" bestFit="1" customWidth="1"/>
    <col min="6" max="6" width="25.5" customWidth="1"/>
  </cols>
  <sheetData>
    <row r="1" spans="2:12" ht="12.75" customHeight="1">
      <c r="B1" s="199" t="s">
        <v>65</v>
      </c>
      <c r="C1" s="199"/>
      <c r="D1" s="199"/>
      <c r="E1" s="199"/>
      <c r="F1" s="199"/>
      <c r="G1" s="199"/>
      <c r="H1" t="s">
        <v>28</v>
      </c>
      <c r="I1" s="12">
        <f>MEDIAN($D$6:$D$10)</f>
        <v>60.1</v>
      </c>
      <c r="K1">
        <v>82.1</v>
      </c>
      <c r="L1">
        <v>89</v>
      </c>
    </row>
    <row r="2" spans="2:12">
      <c r="B2" s="199"/>
      <c r="C2" s="199"/>
      <c r="D2" s="199"/>
      <c r="E2" s="199"/>
      <c r="F2" s="199"/>
      <c r="G2" s="199"/>
      <c r="H2" t="s">
        <v>29</v>
      </c>
      <c r="I2" s="12">
        <f>MAX($D$6:$D$10)</f>
        <v>89</v>
      </c>
      <c r="K2">
        <v>65.2</v>
      </c>
      <c r="L2">
        <v>70.5</v>
      </c>
    </row>
    <row r="3" spans="2:12">
      <c r="B3" s="199"/>
      <c r="C3" s="199"/>
      <c r="D3" s="199"/>
      <c r="E3" s="199"/>
      <c r="F3" s="199"/>
      <c r="G3" s="199"/>
      <c r="H3" t="s">
        <v>30</v>
      </c>
      <c r="I3" s="12">
        <f>MIN($D$6:$D$10)</f>
        <v>22.3</v>
      </c>
      <c r="K3">
        <v>48.9</v>
      </c>
      <c r="L3">
        <v>60.1</v>
      </c>
    </row>
    <row r="4" spans="2:12">
      <c r="K4">
        <v>31</v>
      </c>
      <c r="L4">
        <v>38.700000000000003</v>
      </c>
    </row>
    <row r="5" spans="2:12">
      <c r="B5" s="1" t="str">
        <f t="shared" ref="B5:C10" si="0">E5</f>
        <v>Trainers</v>
      </c>
      <c r="C5" s="1" t="str">
        <f t="shared" si="0"/>
        <v>Opportunity Cost</v>
      </c>
      <c r="E5" s="1" t="s">
        <v>25</v>
      </c>
      <c r="F5" s="13" t="s">
        <v>63</v>
      </c>
      <c r="K5">
        <v>14.5</v>
      </c>
      <c r="L5">
        <v>22.3</v>
      </c>
    </row>
    <row r="6" spans="2:12">
      <c r="B6" t="str">
        <f t="shared" si="0"/>
        <v>Kobe</v>
      </c>
      <c r="C6" s="12">
        <f t="shared" si="0"/>
        <v>60.1</v>
      </c>
      <c r="D6" s="12">
        <f>IF(OR($K$7=0,$K$7=1),L1,IF(OR($K$7=2,$K$7=3),L3,IF(OR($K$7=4,$K$7=5),L5,IF(OR($K$7=6,$K$7=7),L4,L2))))</f>
        <v>60.1</v>
      </c>
      <c r="E6" t="s">
        <v>18</v>
      </c>
      <c r="F6" s="12">
        <f>D6</f>
        <v>60.1</v>
      </c>
      <c r="I6" s="19" t="s">
        <v>45</v>
      </c>
    </row>
    <row r="7" spans="2:12">
      <c r="B7" t="str">
        <f t="shared" si="0"/>
        <v>Mickey</v>
      </c>
      <c r="C7" s="12">
        <f t="shared" si="0"/>
        <v>38.700000000000003</v>
      </c>
      <c r="D7" s="12">
        <f>IF(OR($K$7=0,$K$7=1),L2,IF(OR($K$7=2,$K$7=3),L4,IF(OR($K$7=4,$K$7=5),L1,IF(OR($K$7=6,$K$7=7),L3,L5))))</f>
        <v>38.700000000000003</v>
      </c>
      <c r="E7" t="s">
        <v>22</v>
      </c>
      <c r="F7" s="12">
        <f>D7</f>
        <v>38.700000000000003</v>
      </c>
      <c r="K7">
        <f>VALUE(RIGHT(ID!C29+ID!D29+ID!G6+ID!H6+ID!I6))</f>
        <v>3</v>
      </c>
    </row>
    <row r="8" spans="2:12">
      <c r="B8" t="str">
        <f t="shared" si="0"/>
        <v>Serena</v>
      </c>
      <c r="C8" s="12">
        <f t="shared" si="0"/>
        <v>22.3</v>
      </c>
      <c r="D8" s="12">
        <f>IF(OR($K$7=0,$K$7=1),L3,IF(OR($K$7=2,$K$7=3),L5,IF(OR($K$7=4,$K$7=5),L2,IF(OR($K$7=6,$K$7=7),L2,L4))))</f>
        <v>22.3</v>
      </c>
      <c r="E8" t="s">
        <v>15</v>
      </c>
      <c r="F8" s="12">
        <f>D8</f>
        <v>22.3</v>
      </c>
    </row>
    <row r="9" spans="2:12">
      <c r="B9" t="str">
        <f t="shared" si="0"/>
        <v>Tiger</v>
      </c>
      <c r="C9" s="12">
        <f t="shared" si="0"/>
        <v>89</v>
      </c>
      <c r="D9" s="12">
        <f>IF(OR($K$7=0,$K$7=1),L4,IF(OR($K$7=2,$K$7=3),L1,IF(OR($K$7=4,$K$7=5),L3,IF(OR($K$7=6,$K$7=7),L1,L3))))</f>
        <v>89</v>
      </c>
      <c r="E9" t="s">
        <v>16</v>
      </c>
      <c r="F9" s="12">
        <f>D9</f>
        <v>89</v>
      </c>
    </row>
    <row r="10" spans="2:12">
      <c r="B10" t="str">
        <f t="shared" si="0"/>
        <v>Venus</v>
      </c>
      <c r="C10" s="12">
        <f t="shared" si="0"/>
        <v>70.5</v>
      </c>
      <c r="D10" s="12">
        <f>IF(OR($K$7=0,$K$7=1),L5,IF(OR($K$7=2,$K$7=3),L2,IF(OR($K$7=4,$K$7=5),L4,IF(OR($K$7=6,$K$7=7),L5,L1))))</f>
        <v>70.5</v>
      </c>
      <c r="E10" t="s">
        <v>17</v>
      </c>
      <c r="F10" s="12">
        <f>D10</f>
        <v>70.5</v>
      </c>
    </row>
    <row r="11" spans="2:12">
      <c r="C11" s="12"/>
      <c r="D11" s="12"/>
      <c r="F11" s="12"/>
    </row>
    <row r="12" spans="2:12">
      <c r="C12" s="12"/>
      <c r="D12" s="12"/>
      <c r="F12" s="12"/>
    </row>
    <row r="13" spans="2:12">
      <c r="C13" s="12"/>
      <c r="D13" s="12"/>
      <c r="F13" s="12"/>
    </row>
    <row r="14" spans="2:12">
      <c r="C14" s="12"/>
      <c r="D14" s="12"/>
      <c r="F14" s="12"/>
    </row>
    <row r="15" spans="2:12">
      <c r="C15" s="12"/>
      <c r="D15" s="12"/>
      <c r="F15" s="12"/>
    </row>
    <row r="17" spans="1:11">
      <c r="A17" s="15" t="s">
        <v>31</v>
      </c>
      <c r="B17" s="200" t="s">
        <v>66</v>
      </c>
      <c r="C17" s="200"/>
      <c r="D17" s="200"/>
      <c r="E17" s="200"/>
      <c r="F17" s="200"/>
    </row>
    <row r="18" spans="1:11">
      <c r="B18" s="200"/>
      <c r="C18" s="200"/>
      <c r="D18" s="200"/>
      <c r="E18" s="200"/>
      <c r="F18" s="200"/>
    </row>
    <row r="19" spans="1:11">
      <c r="B19" s="1" t="s">
        <v>32</v>
      </c>
      <c r="C19" s="12">
        <f>(I1+I2)/2</f>
        <v>74.55</v>
      </c>
    </row>
    <row r="21" spans="1:11">
      <c r="B21" t="s">
        <v>18</v>
      </c>
      <c r="D21" s="16">
        <f>IF(AND(H$27=1,H21=J21),"Correct",IF(AND(H$27=1,NOT(H21=J21)),"Incorrect",0))</f>
        <v>0</v>
      </c>
      <c r="H21">
        <f>IF(I21=TRUE,1,0)</f>
        <v>1</v>
      </c>
      <c r="I21" s="14" t="b">
        <f>IF(C6&lt;$C$19,TRUE,FALSE)</f>
        <v>1</v>
      </c>
      <c r="J21" s="111">
        <v>0</v>
      </c>
    </row>
    <row r="22" spans="1:11">
      <c r="B22" t="s">
        <v>22</v>
      </c>
      <c r="D22" s="16">
        <f t="shared" ref="D22:D25" si="1">IF(AND(H$27=1,H22=J22),"Correct",IF(AND(H$27=1,NOT(H22=J22)),"Incorrect",0))</f>
        <v>0</v>
      </c>
      <c r="H22">
        <f>IF(I22=TRUE,1,0)</f>
        <v>1</v>
      </c>
      <c r="I22" s="14" t="b">
        <f>IF(C7&lt;$C$19,TRUE,FALSE)</f>
        <v>1</v>
      </c>
      <c r="J22" s="111">
        <v>0</v>
      </c>
    </row>
    <row r="23" spans="1:11">
      <c r="B23" t="s">
        <v>15</v>
      </c>
      <c r="D23" s="16">
        <f t="shared" si="1"/>
        <v>0</v>
      </c>
      <c r="H23">
        <f>IF(I23=TRUE,1,0)</f>
        <v>1</v>
      </c>
      <c r="I23" s="14" t="b">
        <f>IF(C8&lt;$C$19,TRUE,FALSE)</f>
        <v>1</v>
      </c>
      <c r="J23" s="111">
        <v>0</v>
      </c>
    </row>
    <row r="24" spans="1:11">
      <c r="B24" t="s">
        <v>16</v>
      </c>
      <c r="D24" s="16">
        <f t="shared" si="1"/>
        <v>0</v>
      </c>
      <c r="H24">
        <f>IF(I24=TRUE,1,0)</f>
        <v>0</v>
      </c>
      <c r="I24" s="14" t="b">
        <f>IF(C9&lt;$C$19,TRUE,FALSE)</f>
        <v>0</v>
      </c>
      <c r="J24" s="111">
        <v>0</v>
      </c>
    </row>
    <row r="25" spans="1:11">
      <c r="B25" t="s">
        <v>17</v>
      </c>
      <c r="D25" s="16">
        <f t="shared" si="1"/>
        <v>0</v>
      </c>
      <c r="H25">
        <f>IF(I25=TRUE,1,0)</f>
        <v>1</v>
      </c>
      <c r="I25" s="14" t="b">
        <f>IF(C10&lt;$C$19,TRUE,FALSE)</f>
        <v>1</v>
      </c>
      <c r="J25" s="111">
        <v>0</v>
      </c>
    </row>
    <row r="26" spans="1:11">
      <c r="B26" s="14"/>
      <c r="G26">
        <v>1</v>
      </c>
      <c r="H26">
        <f>SUM(H21:H25)</f>
        <v>4</v>
      </c>
    </row>
    <row r="27" spans="1:11">
      <c r="H27" s="111">
        <v>0</v>
      </c>
      <c r="K27">
        <v>0</v>
      </c>
    </row>
    <row r="28" spans="1:11">
      <c r="K28">
        <v>1</v>
      </c>
    </row>
    <row r="29" spans="1:11">
      <c r="B29" t="s">
        <v>269</v>
      </c>
      <c r="D29" s="1"/>
      <c r="E29" s="17">
        <f>C19</f>
        <v>74.55</v>
      </c>
      <c r="F29" t="s">
        <v>37</v>
      </c>
      <c r="H29" s="111">
        <v>1</v>
      </c>
      <c r="K29">
        <v>2</v>
      </c>
    </row>
    <row r="30" spans="1:11">
      <c r="D30" s="1"/>
      <c r="E30" s="17"/>
      <c r="K30">
        <v>3</v>
      </c>
    </row>
    <row r="31" spans="1:11">
      <c r="D31" s="1"/>
      <c r="E31" s="17"/>
      <c r="F31" s="16">
        <f>IF(H29=1,0,IF(H29=H26+2,"Correct","Incorrect"))</f>
        <v>0</v>
      </c>
      <c r="K31">
        <v>4</v>
      </c>
    </row>
    <row r="32" spans="1:11">
      <c r="K32">
        <v>5</v>
      </c>
    </row>
    <row r="33" spans="2:10">
      <c r="B33" s="200" t="s">
        <v>67</v>
      </c>
      <c r="C33" s="200"/>
      <c r="D33" s="200"/>
      <c r="E33" s="200"/>
      <c r="F33" s="200"/>
    </row>
    <row r="34" spans="2:10">
      <c r="B34" s="200"/>
      <c r="C34" s="200"/>
      <c r="D34" s="200"/>
      <c r="E34" s="200"/>
      <c r="F34" s="200"/>
    </row>
    <row r="35" spans="2:10">
      <c r="B35" s="1" t="s">
        <v>33</v>
      </c>
      <c r="C35" s="12">
        <f>(I1+I3)/2</f>
        <v>41.2</v>
      </c>
    </row>
    <row r="37" spans="2:10">
      <c r="B37" t="s">
        <v>18</v>
      </c>
      <c r="D37" s="16">
        <f>IF(AND(H$43=1,H37=J37),"Correct",IF(AND(H$43=1,NOT(H37=J37)),"Incorrect",0))</f>
        <v>0</v>
      </c>
      <c r="H37">
        <f>IF(I37=TRUE,1,0)</f>
        <v>0</v>
      </c>
      <c r="I37" s="14" t="b">
        <f>IF(C6&lt;$C$35,TRUE,FALSE)</f>
        <v>0</v>
      </c>
      <c r="J37" s="111">
        <v>0</v>
      </c>
    </row>
    <row r="38" spans="2:10">
      <c r="B38" t="s">
        <v>22</v>
      </c>
      <c r="D38" s="16">
        <f t="shared" ref="D38:D41" si="2">IF(AND(H$43=1,H38=J38),"Correct",IF(AND(H$43=1,NOT(H38=J38)),"Incorrect",0))</f>
        <v>0</v>
      </c>
      <c r="H38">
        <f>IF(I38=TRUE,1,0)</f>
        <v>1</v>
      </c>
      <c r="I38" s="14" t="b">
        <f>IF(C7&lt;$C$35,TRUE,FALSE)</f>
        <v>1</v>
      </c>
      <c r="J38" s="111">
        <v>0</v>
      </c>
    </row>
    <row r="39" spans="2:10">
      <c r="B39" t="s">
        <v>15</v>
      </c>
      <c r="D39" s="16">
        <f t="shared" si="2"/>
        <v>0</v>
      </c>
      <c r="H39">
        <f>IF(I39=TRUE,1,0)</f>
        <v>1</v>
      </c>
      <c r="I39" s="14" t="b">
        <f>IF(C8&lt;$C$35,TRUE,FALSE)</f>
        <v>1</v>
      </c>
      <c r="J39" s="111">
        <v>0</v>
      </c>
    </row>
    <row r="40" spans="2:10">
      <c r="B40" t="s">
        <v>16</v>
      </c>
      <c r="D40" s="16">
        <f t="shared" si="2"/>
        <v>0</v>
      </c>
      <c r="H40">
        <f>IF(I40=TRUE,1,0)</f>
        <v>0</v>
      </c>
      <c r="I40" s="14" t="b">
        <f>IF(C9&lt;$C$35,TRUE,FALSE)</f>
        <v>0</v>
      </c>
      <c r="J40" s="111">
        <v>0</v>
      </c>
    </row>
    <row r="41" spans="2:10">
      <c r="B41" t="s">
        <v>17</v>
      </c>
      <c r="D41" s="16">
        <f t="shared" si="2"/>
        <v>0</v>
      </c>
      <c r="H41">
        <f>IF(I41=TRUE,1,0)</f>
        <v>0</v>
      </c>
      <c r="I41" s="14" t="b">
        <f>IF(C10&lt;$C$35,TRUE,FALSE)</f>
        <v>0</v>
      </c>
      <c r="J41" s="111">
        <v>0</v>
      </c>
    </row>
    <row r="42" spans="2:10">
      <c r="G42" t="b">
        <v>0</v>
      </c>
      <c r="H42">
        <f>SUM(H37:H41)</f>
        <v>2</v>
      </c>
    </row>
    <row r="43" spans="2:10">
      <c r="H43" s="111">
        <v>0</v>
      </c>
    </row>
    <row r="45" spans="2:10">
      <c r="B45" t="s">
        <v>270</v>
      </c>
      <c r="D45" s="1"/>
      <c r="E45" s="17">
        <f>C35</f>
        <v>41.2</v>
      </c>
      <c r="F45" t="s">
        <v>37</v>
      </c>
      <c r="H45" s="111">
        <v>1</v>
      </c>
    </row>
    <row r="47" spans="2:10">
      <c r="F47" s="16">
        <f>IF(H45=1,0,IF(H45=H42+2,"Correct","Incorrect"))</f>
        <v>0</v>
      </c>
    </row>
    <row r="48" spans="2:10">
      <c r="I48" t="s">
        <v>68</v>
      </c>
    </row>
    <row r="49" spans="1:11">
      <c r="B49" s="110" t="s">
        <v>316</v>
      </c>
      <c r="H49" s="111">
        <v>1</v>
      </c>
      <c r="I49" t="s">
        <v>69</v>
      </c>
    </row>
    <row r="50" spans="1:11">
      <c r="H50">
        <v>3</v>
      </c>
      <c r="I50" t="s">
        <v>70</v>
      </c>
    </row>
    <row r="51" spans="1:11">
      <c r="F51" s="16">
        <f>IF(H49=1,0,IF(H50=H49,"Correct","Incorrect"))</f>
        <v>0</v>
      </c>
    </row>
    <row r="52" spans="1:11">
      <c r="F52" s="16"/>
    </row>
    <row r="53" spans="1:11">
      <c r="A53" s="15" t="s">
        <v>43</v>
      </c>
      <c r="B53" s="199" t="s">
        <v>71</v>
      </c>
      <c r="C53" s="199"/>
      <c r="D53" s="199"/>
      <c r="E53" s="199"/>
      <c r="F53" s="199"/>
    </row>
    <row r="54" spans="1:11">
      <c r="B54" s="199"/>
      <c r="C54" s="199"/>
      <c r="D54" s="199"/>
      <c r="E54" s="199"/>
      <c r="F54" s="199"/>
    </row>
    <row r="57" spans="1:11">
      <c r="H57" s="1" t="s">
        <v>44</v>
      </c>
    </row>
    <row r="58" spans="1:11">
      <c r="I58" s="12">
        <f>(90*J58+10*(100-J58))/100</f>
        <v>30.8</v>
      </c>
      <c r="J58">
        <v>26</v>
      </c>
    </row>
    <row r="60" spans="1:11">
      <c r="I60" s="12"/>
    </row>
    <row r="61" spans="1:11">
      <c r="H61">
        <v>5</v>
      </c>
      <c r="I61" s="12">
        <f>I2</f>
        <v>89</v>
      </c>
      <c r="J61" t="str">
        <f>IF(I61=C6,B6,IF(I61=C7,B7,IF(I61=C8,B8,IF(I61=C9,B9,B10))))</f>
        <v>Tiger</v>
      </c>
      <c r="K61" t="str">
        <f>CONCATENATE(J61,"'s Cost")</f>
        <v>Tiger's Cost</v>
      </c>
    </row>
    <row r="62" spans="1:11">
      <c r="H62">
        <v>4</v>
      </c>
      <c r="I62" s="12">
        <f>I61</f>
        <v>89</v>
      </c>
    </row>
    <row r="63" spans="1:11">
      <c r="H63">
        <v>4</v>
      </c>
      <c r="I63" s="18">
        <f>IF(I61=C6,MAX(C7:C10),IF(I61=C7,MAX(C6,C8,C9,C10),IF(I61=C8,MAX(C6,C7,C9,C10),IF(I61=C9,MAX(C6,C7,C8,C10),MAX(C6:C9)))))</f>
        <v>70.5</v>
      </c>
      <c r="J63" t="str">
        <f>IF(I63=C6,B6,IF(I63=C7,B7,IF(I63=C8,B8,IF(I63=C9,B9,B10))))</f>
        <v>Venus</v>
      </c>
      <c r="K63" t="str">
        <f>CONCATENATE(J63,"'s Cost")</f>
        <v>Venus's Cost</v>
      </c>
    </row>
    <row r="64" spans="1:11">
      <c r="H64">
        <v>3</v>
      </c>
      <c r="I64" s="12">
        <f>I63</f>
        <v>70.5</v>
      </c>
    </row>
    <row r="65" spans="2:11">
      <c r="H65">
        <v>3</v>
      </c>
      <c r="I65" s="12">
        <f>I1</f>
        <v>60.1</v>
      </c>
      <c r="J65" t="str">
        <f>IF(I65=C6,B6,IF(I65=C7,B7,IF(I65=C8,B8,IF(I65=C9,B9,B10))))</f>
        <v>Kobe</v>
      </c>
      <c r="K65" t="str">
        <f>CONCATENATE(J65,"'s Cost")</f>
        <v>Kobe's Cost</v>
      </c>
    </row>
    <row r="66" spans="2:11">
      <c r="H66">
        <v>2</v>
      </c>
      <c r="I66" s="12">
        <f>I65</f>
        <v>60.1</v>
      </c>
    </row>
    <row r="67" spans="2:11">
      <c r="H67">
        <v>2</v>
      </c>
      <c r="I67" s="12">
        <f>IF(I69=C6,MIN(C7:C10),IF(I69=C7,MIN(C6,C8,C9,C10),IF(I69=C8,MIN(C6,C7,C9,C10),IF(I69=C9,MIN(C6,C7,C8,C10),MIN(C6:C9)))))</f>
        <v>38.700000000000003</v>
      </c>
      <c r="J67" t="str">
        <f>IF(I67=C6,B6,IF(I67=C7,B7,IF(I67=C8,B8,IF(I67=C9,B9,B10))))</f>
        <v>Mickey</v>
      </c>
      <c r="K67" t="str">
        <f>CONCATENATE(J67,"'s Cost")</f>
        <v>Mickey's Cost</v>
      </c>
    </row>
    <row r="68" spans="2:11">
      <c r="H68">
        <v>1</v>
      </c>
      <c r="I68" s="12">
        <f>I67</f>
        <v>38.700000000000003</v>
      </c>
    </row>
    <row r="69" spans="2:11">
      <c r="H69">
        <v>1</v>
      </c>
      <c r="I69" s="12">
        <f>I3</f>
        <v>22.3</v>
      </c>
      <c r="J69" t="str">
        <f>IF(I69=C6,B6,IF(I69=C7,B7,IF(I69=C8,B8,IF(I69=C9,B9,B10))))</f>
        <v>Serena</v>
      </c>
      <c r="K69" t="str">
        <f>CONCATENATE(J69,"'s Cost")</f>
        <v>Serena's Cost</v>
      </c>
    </row>
    <row r="70" spans="2:11">
      <c r="H70">
        <v>0</v>
      </c>
      <c r="I70" s="12">
        <f>I69</f>
        <v>22.3</v>
      </c>
    </row>
    <row r="71" spans="2:11">
      <c r="H71">
        <v>5</v>
      </c>
      <c r="I71" s="12">
        <v>0</v>
      </c>
    </row>
    <row r="72" spans="2:11">
      <c r="B72" t="s">
        <v>72</v>
      </c>
    </row>
    <row r="73" spans="2:11">
      <c r="B73" t="s">
        <v>62</v>
      </c>
      <c r="H73">
        <v>0</v>
      </c>
      <c r="I73" s="12">
        <f>I58</f>
        <v>30.8</v>
      </c>
    </row>
    <row r="74" spans="2:11">
      <c r="H74">
        <v>6</v>
      </c>
      <c r="I74" s="12">
        <f>I58</f>
        <v>30.8</v>
      </c>
    </row>
    <row r="75" spans="2:11">
      <c r="B75" t="s">
        <v>48</v>
      </c>
      <c r="D75" s="1" t="str">
        <f>K67</f>
        <v>Mickey's Cost</v>
      </c>
      <c r="F75" t="s">
        <v>49</v>
      </c>
      <c r="G75">
        <v>4</v>
      </c>
    </row>
    <row r="76" spans="2:11">
      <c r="B76" s="1" t="str">
        <f>CONCATENATE(K65,".")</f>
        <v>Kobe's Cost.</v>
      </c>
      <c r="C76" t="s">
        <v>73</v>
      </c>
      <c r="F76">
        <f>IF(G75=G76,"Correct",IF(AND(G76&gt;1,NOT(G76=G75)),"Incorrect",0))</f>
        <v>0</v>
      </c>
      <c r="G76" s="111">
        <v>1</v>
      </c>
    </row>
    <row r="79" spans="2:11">
      <c r="B79" t="s">
        <v>48</v>
      </c>
      <c r="D79" s="1" t="str">
        <f>CONCATENATE(K61,".")</f>
        <v>Tiger's Cost.</v>
      </c>
      <c r="F79" t="s">
        <v>74</v>
      </c>
      <c r="G79">
        <v>7</v>
      </c>
    </row>
    <row r="80" spans="2:11">
      <c r="B80" t="s">
        <v>52</v>
      </c>
      <c r="C80">
        <f>IF(G79=G80,"Correct",IF(AND(G80&gt;1,NOT(G80=G79)),"Incorrect",0))</f>
        <v>0</v>
      </c>
      <c r="G80" s="111">
        <v>1</v>
      </c>
    </row>
    <row r="83" spans="2:9">
      <c r="B83" t="s">
        <v>54</v>
      </c>
      <c r="D83" s="1" t="str">
        <f>CONCATENATE(K69,".")</f>
        <v>Serena's Cost.</v>
      </c>
      <c r="F83" t="s">
        <v>75</v>
      </c>
      <c r="G83">
        <v>2</v>
      </c>
    </row>
    <row r="84" spans="2:9">
      <c r="B84" t="s">
        <v>56</v>
      </c>
      <c r="C84">
        <f>IF(G83=G84,"Correct",IF(AND(G84&gt;1,NOT(G84=G83)),"Incorrect",0))</f>
        <v>0</v>
      </c>
      <c r="G84" s="111">
        <v>1</v>
      </c>
    </row>
    <row r="87" spans="2:9">
      <c r="B87" s="199" t="s">
        <v>76</v>
      </c>
      <c r="C87" s="199"/>
      <c r="D87" s="199"/>
      <c r="E87" s="199"/>
      <c r="F87" s="199"/>
      <c r="G87">
        <v>3</v>
      </c>
    </row>
    <row r="88" spans="2:9">
      <c r="B88" s="199"/>
      <c r="C88" s="199"/>
      <c r="D88" s="199"/>
      <c r="E88" s="199"/>
      <c r="F88" s="199"/>
      <c r="G88" s="111">
        <v>1</v>
      </c>
      <c r="I88" t="s">
        <v>77</v>
      </c>
    </row>
    <row r="89" spans="2:9">
      <c r="I89" t="s">
        <v>78</v>
      </c>
    </row>
    <row r="90" spans="2:9">
      <c r="F90">
        <f>IF(G87=G88,"Correct",IF(AND(G88&gt;1,NOT(G88=G87)),"Incorrect",0))</f>
        <v>0</v>
      </c>
    </row>
  </sheetData>
  <mergeCells count="5">
    <mergeCell ref="B87:F88"/>
    <mergeCell ref="B1:G3"/>
    <mergeCell ref="B17:F18"/>
    <mergeCell ref="B33:F34"/>
    <mergeCell ref="B53:F54"/>
  </mergeCells>
  <phoneticPr fontId="8" type="noConversion"/>
  <conditionalFormatting sqref="F31 F47 F51:F52 D21:D25 D37:D41">
    <cfRule type="cellIs" dxfId="1" priority="1" stopIfTrue="1" operator="equal">
      <formula>"Correct"</formula>
    </cfRule>
    <cfRule type="cellIs" dxfId="0" priority="2" stopIfTrue="1" operator="equal">
      <formula>"Incorrect"</formula>
    </cfRule>
  </conditionalFormatting>
  <hyperlinks>
    <hyperlink ref="I6" location="'Constructing Demand'!A65" display="Go To Graph"/>
  </hyperlinks>
  <pageMargins left="0.75" right="0.75" top="1" bottom="1" header="0.5" footer="0.5"/>
  <pageSetup orientation="portrait" horizontalDpi="200" verticalDpi="2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5069" r:id="rId3" name="Drop Down 13">
              <controlPr defaultSize="0" autoLine="0" autoPict="0">
                <anchor moveWithCells="1">
                  <from>
                    <xdr:col>5</xdr:col>
                    <xdr:colOff>152400</xdr:colOff>
                    <xdr:row>28</xdr:row>
                    <xdr:rowOff>0</xdr:rowOff>
                  </from>
                  <to>
                    <xdr:col>5</xdr:col>
                    <xdr:colOff>469900</xdr:colOff>
                    <xdr:row>29</xdr:row>
                    <xdr:rowOff>25400</xdr:rowOff>
                  </to>
                </anchor>
              </controlPr>
            </control>
          </mc:Choice>
          <mc:Fallback/>
        </mc:AlternateContent>
        <mc:AlternateContent xmlns:mc="http://schemas.openxmlformats.org/markup-compatibility/2006">
          <mc:Choice Requires="x14">
            <control shapeId="45070" r:id="rId4" name="Drop Down 14">
              <controlPr defaultSize="0" autoLine="0" autoPict="0">
                <anchor moveWithCells="1">
                  <from>
                    <xdr:col>5</xdr:col>
                    <xdr:colOff>177800</xdr:colOff>
                    <xdr:row>43</xdr:row>
                    <xdr:rowOff>101600</xdr:rowOff>
                  </from>
                  <to>
                    <xdr:col>5</xdr:col>
                    <xdr:colOff>482600</xdr:colOff>
                    <xdr:row>45</xdr:row>
                    <xdr:rowOff>25400</xdr:rowOff>
                  </to>
                </anchor>
              </controlPr>
            </control>
          </mc:Choice>
          <mc:Fallback/>
        </mc:AlternateContent>
        <mc:AlternateContent xmlns:mc="http://schemas.openxmlformats.org/markup-compatibility/2006">
          <mc:Choice Requires="x14">
            <control shapeId="45071" r:id="rId5" name="Drop Down 15">
              <controlPr defaultSize="0" autoLine="0" autoPict="0">
                <anchor moveWithCells="1">
                  <from>
                    <xdr:col>5</xdr:col>
                    <xdr:colOff>0</xdr:colOff>
                    <xdr:row>48</xdr:row>
                    <xdr:rowOff>12700</xdr:rowOff>
                  </from>
                  <to>
                    <xdr:col>6</xdr:col>
                    <xdr:colOff>292100</xdr:colOff>
                    <xdr:row>49</xdr:row>
                    <xdr:rowOff>38100</xdr:rowOff>
                  </to>
                </anchor>
              </controlPr>
            </control>
          </mc:Choice>
          <mc:Fallback/>
        </mc:AlternateContent>
        <mc:AlternateContent xmlns:mc="http://schemas.openxmlformats.org/markup-compatibility/2006">
          <mc:Choice Requires="x14">
            <control shapeId="45074" r:id="rId6" name="Drop Down 18">
              <controlPr defaultSize="0" autoLine="0" autoPict="0">
                <anchor moveWithCells="1">
                  <from>
                    <xdr:col>4</xdr:col>
                    <xdr:colOff>127000</xdr:colOff>
                    <xdr:row>75</xdr:row>
                    <xdr:rowOff>12700</xdr:rowOff>
                  </from>
                  <to>
                    <xdr:col>5</xdr:col>
                    <xdr:colOff>50800</xdr:colOff>
                    <xdr:row>76</xdr:row>
                    <xdr:rowOff>38100</xdr:rowOff>
                  </to>
                </anchor>
              </controlPr>
            </control>
          </mc:Choice>
          <mc:Fallback/>
        </mc:AlternateContent>
        <mc:AlternateContent xmlns:mc="http://schemas.openxmlformats.org/markup-compatibility/2006">
          <mc:Choice Requires="x14">
            <control shapeId="45075" r:id="rId7" name="Drop Down 19">
              <controlPr defaultSize="0" autoLine="0" autoPict="0">
                <anchor moveWithCells="1">
                  <from>
                    <xdr:col>1</xdr:col>
                    <xdr:colOff>190500</xdr:colOff>
                    <xdr:row>79</xdr:row>
                    <xdr:rowOff>12700</xdr:rowOff>
                  </from>
                  <to>
                    <xdr:col>1</xdr:col>
                    <xdr:colOff>508000</xdr:colOff>
                    <xdr:row>80</xdr:row>
                    <xdr:rowOff>38100</xdr:rowOff>
                  </to>
                </anchor>
              </controlPr>
            </control>
          </mc:Choice>
          <mc:Fallback/>
        </mc:AlternateContent>
        <mc:AlternateContent xmlns:mc="http://schemas.openxmlformats.org/markup-compatibility/2006">
          <mc:Choice Requires="x14">
            <control shapeId="45076" r:id="rId8" name="Drop Down 20">
              <controlPr defaultSize="0" autoLine="0" autoPict="0">
                <anchor moveWithCells="1">
                  <from>
                    <xdr:col>1</xdr:col>
                    <xdr:colOff>177800</xdr:colOff>
                    <xdr:row>83</xdr:row>
                    <xdr:rowOff>12700</xdr:rowOff>
                  </from>
                  <to>
                    <xdr:col>1</xdr:col>
                    <xdr:colOff>508000</xdr:colOff>
                    <xdr:row>84</xdr:row>
                    <xdr:rowOff>38100</xdr:rowOff>
                  </to>
                </anchor>
              </controlPr>
            </control>
          </mc:Choice>
          <mc:Fallback/>
        </mc:AlternateContent>
        <mc:AlternateContent xmlns:mc="http://schemas.openxmlformats.org/markup-compatibility/2006">
          <mc:Choice Requires="x14">
            <control shapeId="45077" r:id="rId9" name="Drop Down 21">
              <controlPr defaultSize="0" autoLine="0" autoPict="0">
                <anchor moveWithCells="1">
                  <from>
                    <xdr:col>2</xdr:col>
                    <xdr:colOff>558800</xdr:colOff>
                    <xdr:row>88</xdr:row>
                    <xdr:rowOff>38100</xdr:rowOff>
                  </from>
                  <to>
                    <xdr:col>5</xdr:col>
                    <xdr:colOff>228600</xdr:colOff>
                    <xdr:row>89</xdr:row>
                    <xdr:rowOff>63500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N53"/>
  <sheetViews>
    <sheetView workbookViewId="0">
      <selection activeCell="N4" sqref="N4"/>
    </sheetView>
  </sheetViews>
  <sheetFormatPr baseColWidth="10" defaultColWidth="8.83203125" defaultRowHeight="12" x14ac:dyDescent="0"/>
  <sheetData>
    <row r="1" spans="1:14">
      <c r="A1" s="1" t="s">
        <v>5</v>
      </c>
      <c r="B1" s="1" t="s">
        <v>6</v>
      </c>
      <c r="C1" t="s">
        <v>274</v>
      </c>
      <c r="G1" s="1" t="s">
        <v>7</v>
      </c>
      <c r="H1">
        <f>Login!F7</f>
        <v>0</v>
      </c>
      <c r="L1" s="1" t="s">
        <v>8</v>
      </c>
      <c r="M1" s="1" t="s">
        <v>3</v>
      </c>
      <c r="N1" s="1" t="s">
        <v>4</v>
      </c>
    </row>
    <row r="2" spans="1:14">
      <c r="A2" t="str">
        <f>LEFT(Login!F7)</f>
        <v/>
      </c>
      <c r="B2" t="str">
        <f>LEFT(Login!H7)</f>
        <v/>
      </c>
      <c r="C2" t="str">
        <f>LEFT(Login!J7)</f>
        <v/>
      </c>
      <c r="G2">
        <f>Login!F7</f>
        <v>0</v>
      </c>
      <c r="H2">
        <f>Login!H7</f>
        <v>0</v>
      </c>
      <c r="I2">
        <f>Login!J7</f>
        <v>0</v>
      </c>
      <c r="L2" s="1"/>
      <c r="M2" s="1"/>
      <c r="N2" s="1"/>
    </row>
    <row r="3" spans="1:14">
      <c r="C3">
        <f>IF($A$2="A",1,0)</f>
        <v>0</v>
      </c>
      <c r="D3">
        <f>IF($B$2="A",1,0)</f>
        <v>0</v>
      </c>
      <c r="E3">
        <f>IF($C$2="A",1,0)</f>
        <v>0</v>
      </c>
      <c r="L3">
        <v>1</v>
      </c>
      <c r="M3">
        <f>1</f>
        <v>1</v>
      </c>
      <c r="N3">
        <v>1955</v>
      </c>
    </row>
    <row r="4" spans="1:14">
      <c r="C4">
        <f>IF($A$2="B",2,0)</f>
        <v>0</v>
      </c>
      <c r="D4">
        <f>IF($B$2="B",2,0)</f>
        <v>0</v>
      </c>
      <c r="E4">
        <f>IF($C$2="B",2,0)</f>
        <v>0</v>
      </c>
      <c r="G4" s="1" t="s">
        <v>9</v>
      </c>
      <c r="H4" s="1"/>
      <c r="I4" s="1"/>
      <c r="L4">
        <v>2</v>
      </c>
      <c r="M4">
        <f>M3+1</f>
        <v>2</v>
      </c>
      <c r="N4">
        <f>N3+1</f>
        <v>1956</v>
      </c>
    </row>
    <row r="5" spans="1:14">
      <c r="C5">
        <f>IF($A$2="C",3,0)</f>
        <v>0</v>
      </c>
      <c r="D5">
        <f>IF($B$2="C",3,0)</f>
        <v>0</v>
      </c>
      <c r="E5">
        <f>IF($C$2="C",2,0)</f>
        <v>0</v>
      </c>
      <c r="G5" s="1" t="s">
        <v>2</v>
      </c>
      <c r="H5" s="1" t="s">
        <v>10</v>
      </c>
      <c r="I5" s="1" t="s">
        <v>4</v>
      </c>
      <c r="L5">
        <v>3</v>
      </c>
      <c r="M5">
        <f t="shared" ref="M5:N33" si="0">M4+1</f>
        <v>3</v>
      </c>
      <c r="N5">
        <f t="shared" si="0"/>
        <v>1957</v>
      </c>
    </row>
    <row r="6" spans="1:14">
      <c r="C6">
        <f>IF($A$2="D",4,0)</f>
        <v>0</v>
      </c>
      <c r="D6">
        <f>IF($B$2="D",4,0)</f>
        <v>0</v>
      </c>
      <c r="E6">
        <f>IF($C$2="D",2,0)</f>
        <v>0</v>
      </c>
      <c r="G6">
        <v>1</v>
      </c>
      <c r="H6">
        <v>1</v>
      </c>
      <c r="I6">
        <v>1</v>
      </c>
      <c r="L6">
        <v>4</v>
      </c>
      <c r="M6">
        <f t="shared" si="0"/>
        <v>4</v>
      </c>
      <c r="N6">
        <f t="shared" si="0"/>
        <v>1958</v>
      </c>
    </row>
    <row r="7" spans="1:14">
      <c r="C7">
        <f>IF($A$2="E",5,0)</f>
        <v>0</v>
      </c>
      <c r="D7">
        <f>IF($B$2="E",5,0)</f>
        <v>0</v>
      </c>
      <c r="E7">
        <f>IF($C$2="E",5,0)</f>
        <v>0</v>
      </c>
      <c r="L7">
        <v>5</v>
      </c>
      <c r="M7">
        <f t="shared" si="0"/>
        <v>5</v>
      </c>
      <c r="N7">
        <f t="shared" si="0"/>
        <v>1959</v>
      </c>
    </row>
    <row r="8" spans="1:14">
      <c r="C8">
        <f>IF($A$2="F",6,0)</f>
        <v>0</v>
      </c>
      <c r="D8">
        <f>IF($B$2="F",6,0)</f>
        <v>0</v>
      </c>
      <c r="E8">
        <f>IF($C$2="F",6,0)</f>
        <v>0</v>
      </c>
      <c r="L8">
        <v>6</v>
      </c>
      <c r="M8">
        <f t="shared" si="0"/>
        <v>6</v>
      </c>
      <c r="N8">
        <f t="shared" si="0"/>
        <v>1960</v>
      </c>
    </row>
    <row r="9" spans="1:14">
      <c r="C9">
        <f>IF($A$2="G",7,0)</f>
        <v>0</v>
      </c>
      <c r="D9">
        <f>IF($B$2="G",7,0)</f>
        <v>0</v>
      </c>
      <c r="E9">
        <f>IF($C$2="G",7,0)</f>
        <v>0</v>
      </c>
      <c r="L9">
        <v>7</v>
      </c>
      <c r="M9">
        <f t="shared" si="0"/>
        <v>7</v>
      </c>
      <c r="N9">
        <f t="shared" si="0"/>
        <v>1961</v>
      </c>
    </row>
    <row r="10" spans="1:14">
      <c r="C10">
        <f>IF($A$2="H",8,0)</f>
        <v>0</v>
      </c>
      <c r="D10">
        <f>IF($B$2="H",8,0)</f>
        <v>0</v>
      </c>
      <c r="E10">
        <f>IF($C$2="H",8,0)</f>
        <v>0</v>
      </c>
      <c r="L10">
        <v>8</v>
      </c>
      <c r="M10">
        <f t="shared" si="0"/>
        <v>8</v>
      </c>
      <c r="N10">
        <f t="shared" si="0"/>
        <v>1962</v>
      </c>
    </row>
    <row r="11" spans="1:14">
      <c r="C11">
        <f>IF($A$2="I",9,0)</f>
        <v>0</v>
      </c>
      <c r="D11">
        <f>IF($B$2="I",9,0)</f>
        <v>0</v>
      </c>
      <c r="E11">
        <f>IF($C$2="I",9,0)</f>
        <v>0</v>
      </c>
      <c r="L11">
        <v>9</v>
      </c>
      <c r="M11">
        <f t="shared" si="0"/>
        <v>9</v>
      </c>
      <c r="N11">
        <f t="shared" si="0"/>
        <v>1963</v>
      </c>
    </row>
    <row r="12" spans="1:14">
      <c r="C12">
        <f>IF($A$2="J",10,0)</f>
        <v>0</v>
      </c>
      <c r="D12">
        <f>IF($B$2="J",10,0)</f>
        <v>0</v>
      </c>
      <c r="E12">
        <f>IF($C$2="J",10,0)</f>
        <v>0</v>
      </c>
      <c r="L12">
        <v>10</v>
      </c>
      <c r="M12">
        <f t="shared" si="0"/>
        <v>10</v>
      </c>
      <c r="N12">
        <f t="shared" si="0"/>
        <v>1964</v>
      </c>
    </row>
    <row r="13" spans="1:14">
      <c r="C13">
        <f>IF($A$2="K",11,0)</f>
        <v>0</v>
      </c>
      <c r="D13">
        <f>IF($B$2="K",11,0)</f>
        <v>0</v>
      </c>
      <c r="E13">
        <f>IF($C$2="K",11,0)</f>
        <v>0</v>
      </c>
      <c r="L13">
        <v>11</v>
      </c>
      <c r="M13">
        <f t="shared" si="0"/>
        <v>11</v>
      </c>
      <c r="N13">
        <f t="shared" si="0"/>
        <v>1965</v>
      </c>
    </row>
    <row r="14" spans="1:14">
      <c r="C14">
        <f>IF($A$2="L",12,0)</f>
        <v>0</v>
      </c>
      <c r="D14">
        <f>IF($B$2="L",12,0)</f>
        <v>0</v>
      </c>
      <c r="E14">
        <f>IF($C$2="L",12,0)</f>
        <v>0</v>
      </c>
      <c r="L14">
        <v>12</v>
      </c>
      <c r="M14">
        <f t="shared" si="0"/>
        <v>12</v>
      </c>
      <c r="N14">
        <f t="shared" si="0"/>
        <v>1966</v>
      </c>
    </row>
    <row r="15" spans="1:14">
      <c r="C15">
        <f>IF($A$2="M",13,0)</f>
        <v>0</v>
      </c>
      <c r="D15">
        <f>IF($B$2="M",13,0)</f>
        <v>0</v>
      </c>
      <c r="E15">
        <f>IF($C$2="M",13,0)</f>
        <v>0</v>
      </c>
      <c r="M15">
        <f t="shared" si="0"/>
        <v>13</v>
      </c>
      <c r="N15">
        <f t="shared" si="0"/>
        <v>1967</v>
      </c>
    </row>
    <row r="16" spans="1:14">
      <c r="C16">
        <f>IF($A$2="N",14,0)</f>
        <v>0</v>
      </c>
      <c r="D16">
        <f>IF($B$2="N",14,0)</f>
        <v>0</v>
      </c>
      <c r="E16">
        <f>IF($C$2="N",14,0)</f>
        <v>0</v>
      </c>
      <c r="M16">
        <f t="shared" si="0"/>
        <v>14</v>
      </c>
      <c r="N16">
        <f t="shared" si="0"/>
        <v>1968</v>
      </c>
    </row>
    <row r="17" spans="3:14">
      <c r="C17">
        <f>IF($A$2="O",15,0)</f>
        <v>0</v>
      </c>
      <c r="D17">
        <f>IF($B$2="O",15,0)</f>
        <v>0</v>
      </c>
      <c r="E17">
        <f>IF($C$2="O",15,0)</f>
        <v>0</v>
      </c>
      <c r="M17">
        <f t="shared" si="0"/>
        <v>15</v>
      </c>
      <c r="N17">
        <f t="shared" si="0"/>
        <v>1969</v>
      </c>
    </row>
    <row r="18" spans="3:14">
      <c r="C18">
        <f>IF($A$2="P",16,0)</f>
        <v>0</v>
      </c>
      <c r="D18">
        <f>IF($B$2="P",16,0)</f>
        <v>0</v>
      </c>
      <c r="E18">
        <f>IF($C$2="P",16,0)</f>
        <v>0</v>
      </c>
      <c r="M18">
        <f t="shared" si="0"/>
        <v>16</v>
      </c>
      <c r="N18">
        <f t="shared" si="0"/>
        <v>1970</v>
      </c>
    </row>
    <row r="19" spans="3:14">
      <c r="C19">
        <f>IF($A$2="Q",17,0)</f>
        <v>0</v>
      </c>
      <c r="D19">
        <f>IF($B$2="Q",17,0)</f>
        <v>0</v>
      </c>
      <c r="E19">
        <f>IF($C$2="Q",17,0)</f>
        <v>0</v>
      </c>
      <c r="M19">
        <f t="shared" si="0"/>
        <v>17</v>
      </c>
      <c r="N19">
        <f t="shared" si="0"/>
        <v>1971</v>
      </c>
    </row>
    <row r="20" spans="3:14">
      <c r="C20">
        <f>IF($A$2="R",18,0)</f>
        <v>0</v>
      </c>
      <c r="D20">
        <f>IF($B$2="R",18,0)</f>
        <v>0</v>
      </c>
      <c r="E20">
        <f>IF($C$2="R",18,0)</f>
        <v>0</v>
      </c>
      <c r="M20">
        <f t="shared" si="0"/>
        <v>18</v>
      </c>
      <c r="N20">
        <f t="shared" si="0"/>
        <v>1972</v>
      </c>
    </row>
    <row r="21" spans="3:14">
      <c r="C21">
        <f>IF($A$2="S",19,0)</f>
        <v>0</v>
      </c>
      <c r="D21">
        <f>IF($B$2="S",19,0)</f>
        <v>0</v>
      </c>
      <c r="E21">
        <f>IF($C$2="S",19,0)</f>
        <v>0</v>
      </c>
      <c r="M21">
        <f t="shared" si="0"/>
        <v>19</v>
      </c>
      <c r="N21">
        <f t="shared" si="0"/>
        <v>1973</v>
      </c>
    </row>
    <row r="22" spans="3:14">
      <c r="C22">
        <f>IF($A$2="T",20,0)</f>
        <v>0</v>
      </c>
      <c r="D22">
        <f>IF($B$2="T",20,0)</f>
        <v>0</v>
      </c>
      <c r="E22">
        <f>IF($C$2="T",20,0)</f>
        <v>0</v>
      </c>
      <c r="M22">
        <f t="shared" si="0"/>
        <v>20</v>
      </c>
      <c r="N22">
        <f t="shared" si="0"/>
        <v>1974</v>
      </c>
    </row>
    <row r="23" spans="3:14">
      <c r="C23">
        <f>IF($A$2="U",21,0)</f>
        <v>0</v>
      </c>
      <c r="D23">
        <f>IF($B$2="U",21,0)</f>
        <v>0</v>
      </c>
      <c r="E23">
        <f>IF($C$2="U",21,0)</f>
        <v>0</v>
      </c>
      <c r="M23">
        <f t="shared" si="0"/>
        <v>21</v>
      </c>
      <c r="N23">
        <f t="shared" si="0"/>
        <v>1975</v>
      </c>
    </row>
    <row r="24" spans="3:14">
      <c r="C24">
        <f>IF($A$2="V",22,0)</f>
        <v>0</v>
      </c>
      <c r="D24">
        <f>IF($B$2="V",22,0)</f>
        <v>0</v>
      </c>
      <c r="E24">
        <f>IF($C$2="V",22,0)</f>
        <v>0</v>
      </c>
      <c r="M24">
        <f t="shared" si="0"/>
        <v>22</v>
      </c>
      <c r="N24">
        <f t="shared" si="0"/>
        <v>1976</v>
      </c>
    </row>
    <row r="25" spans="3:14">
      <c r="C25">
        <f>IF($A$2="W",23,0)</f>
        <v>0</v>
      </c>
      <c r="D25">
        <f>IF($B$2="W",23,0)</f>
        <v>0</v>
      </c>
      <c r="E25">
        <f>IF($C$2="W",23,0)</f>
        <v>0</v>
      </c>
      <c r="M25">
        <f t="shared" si="0"/>
        <v>23</v>
      </c>
      <c r="N25">
        <f t="shared" si="0"/>
        <v>1977</v>
      </c>
    </row>
    <row r="26" spans="3:14">
      <c r="C26">
        <f>IF($A$2="X",24,0)</f>
        <v>0</v>
      </c>
      <c r="D26">
        <f>IF($B$2="X",24,0)</f>
        <v>0</v>
      </c>
      <c r="E26">
        <f>IF($C$2="X",24,0)</f>
        <v>0</v>
      </c>
      <c r="M26">
        <f t="shared" si="0"/>
        <v>24</v>
      </c>
      <c r="N26">
        <f t="shared" si="0"/>
        <v>1978</v>
      </c>
    </row>
    <row r="27" spans="3:14">
      <c r="C27">
        <f>IF($A$2="Y",25,0)</f>
        <v>0</v>
      </c>
      <c r="D27">
        <f>IF($B$2="Y",25,0)</f>
        <v>0</v>
      </c>
      <c r="E27">
        <f>IF($C$2="Y",25,0)</f>
        <v>0</v>
      </c>
      <c r="M27">
        <f t="shared" si="0"/>
        <v>25</v>
      </c>
      <c r="N27">
        <f t="shared" si="0"/>
        <v>1979</v>
      </c>
    </row>
    <row r="28" spans="3:14" ht="13" thickBot="1">
      <c r="C28" s="2">
        <f>IF($A$2="Z",26,0)</f>
        <v>0</v>
      </c>
      <c r="D28" s="3">
        <f>IF($B$2="Z",26,0)</f>
        <v>0</v>
      </c>
      <c r="E28" s="3">
        <f>IF($C$2="Z",26,0)</f>
        <v>0</v>
      </c>
      <c r="M28">
        <f t="shared" si="0"/>
        <v>26</v>
      </c>
      <c r="N28">
        <f t="shared" si="0"/>
        <v>1980</v>
      </c>
    </row>
    <row r="29" spans="3:14" ht="13" thickTop="1">
      <c r="C29">
        <f>SUM(C3:C28)</f>
        <v>0</v>
      </c>
      <c r="D29">
        <f>SUM(D3:D28)</f>
        <v>0</v>
      </c>
      <c r="E29">
        <f>SUM(E3:E28)</f>
        <v>0</v>
      </c>
      <c r="M29">
        <f t="shared" si="0"/>
        <v>27</v>
      </c>
      <c r="N29">
        <f t="shared" si="0"/>
        <v>1981</v>
      </c>
    </row>
    <row r="30" spans="3:14">
      <c r="M30">
        <f t="shared" si="0"/>
        <v>28</v>
      </c>
      <c r="N30">
        <f t="shared" si="0"/>
        <v>1982</v>
      </c>
    </row>
    <row r="31" spans="3:14">
      <c r="M31">
        <f t="shared" si="0"/>
        <v>29</v>
      </c>
      <c r="N31">
        <f t="shared" si="0"/>
        <v>1983</v>
      </c>
    </row>
    <row r="32" spans="3:14">
      <c r="M32">
        <f t="shared" si="0"/>
        <v>30</v>
      </c>
      <c r="N32">
        <f t="shared" si="0"/>
        <v>1984</v>
      </c>
    </row>
    <row r="33" spans="13:14">
      <c r="M33">
        <f t="shared" si="0"/>
        <v>31</v>
      </c>
      <c r="N33">
        <f t="shared" si="0"/>
        <v>1985</v>
      </c>
    </row>
    <row r="34" spans="13:14">
      <c r="N34">
        <f t="shared" ref="N34:N53" si="1">N33+1</f>
        <v>1986</v>
      </c>
    </row>
    <row r="35" spans="13:14">
      <c r="N35">
        <f t="shared" si="1"/>
        <v>1987</v>
      </c>
    </row>
    <row r="36" spans="13:14">
      <c r="N36">
        <f t="shared" si="1"/>
        <v>1988</v>
      </c>
    </row>
    <row r="37" spans="13:14">
      <c r="N37">
        <f t="shared" si="1"/>
        <v>1989</v>
      </c>
    </row>
    <row r="38" spans="13:14">
      <c r="N38">
        <f t="shared" si="1"/>
        <v>1990</v>
      </c>
    </row>
    <row r="39" spans="13:14">
      <c r="N39">
        <f t="shared" si="1"/>
        <v>1991</v>
      </c>
    </row>
    <row r="40" spans="13:14">
      <c r="N40">
        <f t="shared" si="1"/>
        <v>1992</v>
      </c>
    </row>
    <row r="41" spans="13:14">
      <c r="N41">
        <f t="shared" si="1"/>
        <v>1993</v>
      </c>
    </row>
    <row r="42" spans="13:14">
      <c r="N42">
        <f t="shared" si="1"/>
        <v>1994</v>
      </c>
    </row>
    <row r="43" spans="13:14">
      <c r="N43">
        <f t="shared" si="1"/>
        <v>1995</v>
      </c>
    </row>
    <row r="44" spans="13:14">
      <c r="N44">
        <f t="shared" si="1"/>
        <v>1996</v>
      </c>
    </row>
    <row r="45" spans="13:14">
      <c r="N45">
        <f t="shared" si="1"/>
        <v>1997</v>
      </c>
    </row>
    <row r="46" spans="13:14">
      <c r="N46">
        <f t="shared" si="1"/>
        <v>1998</v>
      </c>
    </row>
    <row r="47" spans="13:14">
      <c r="N47">
        <f t="shared" si="1"/>
        <v>1999</v>
      </c>
    </row>
    <row r="48" spans="13:14">
      <c r="N48">
        <f t="shared" si="1"/>
        <v>2000</v>
      </c>
    </row>
    <row r="49" spans="14:14">
      <c r="N49">
        <f t="shared" si="1"/>
        <v>2001</v>
      </c>
    </row>
    <row r="50" spans="14:14">
      <c r="N50">
        <f t="shared" si="1"/>
        <v>2002</v>
      </c>
    </row>
    <row r="51" spans="14:14">
      <c r="N51">
        <f t="shared" si="1"/>
        <v>2003</v>
      </c>
    </row>
    <row r="52" spans="14:14">
      <c r="N52">
        <f t="shared" si="1"/>
        <v>2004</v>
      </c>
    </row>
    <row r="53" spans="14:14">
      <c r="N53">
        <f t="shared" si="1"/>
        <v>2005</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dimension ref="A1:JB152"/>
  <sheetViews>
    <sheetView topLeftCell="A19" workbookViewId="0">
      <selection activeCell="C81" sqref="C81"/>
    </sheetView>
  </sheetViews>
  <sheetFormatPr baseColWidth="10" defaultColWidth="8.83203125" defaultRowHeight="12" x14ac:dyDescent="0"/>
  <cols>
    <col min="1" max="1" width="7.83203125" customWidth="1"/>
  </cols>
  <sheetData>
    <row r="1" spans="1:262">
      <c r="B1" t="s">
        <v>278</v>
      </c>
      <c r="JA1" s="110" t="s">
        <v>276</v>
      </c>
      <c r="JB1">
        <f>Login!F7</f>
        <v>0</v>
      </c>
    </row>
    <row r="2" spans="1:262">
      <c r="B2" t="s">
        <v>279</v>
      </c>
      <c r="JA2" s="110" t="s">
        <v>167</v>
      </c>
      <c r="JB2">
        <f>Login!H7</f>
        <v>0</v>
      </c>
    </row>
    <row r="3" spans="1:262">
      <c r="B3" t="s">
        <v>280</v>
      </c>
      <c r="JA3" s="110" t="s">
        <v>271</v>
      </c>
      <c r="JB3">
        <f>Login!J7</f>
        <v>0</v>
      </c>
    </row>
    <row r="4" spans="1:262">
      <c r="B4" t="s">
        <v>281</v>
      </c>
    </row>
    <row r="6" spans="1:262">
      <c r="B6" s="110" t="s">
        <v>284</v>
      </c>
    </row>
    <row r="7" spans="1:262">
      <c r="B7" s="110" t="s">
        <v>283</v>
      </c>
    </row>
    <row r="8" spans="1:262">
      <c r="B8" s="110" t="s">
        <v>285</v>
      </c>
    </row>
    <row r="9" spans="1:262">
      <c r="B9" s="110" t="s">
        <v>286</v>
      </c>
    </row>
    <row r="10" spans="1:262">
      <c r="B10" s="110"/>
    </row>
    <row r="11" spans="1:262">
      <c r="A11" t="s">
        <v>275</v>
      </c>
    </row>
    <row r="12" spans="1:262">
      <c r="B12" t="s">
        <v>276</v>
      </c>
      <c r="C12">
        <f>Login!F7</f>
        <v>0</v>
      </c>
    </row>
    <row r="13" spans="1:262">
      <c r="B13" t="s">
        <v>167</v>
      </c>
      <c r="C13">
        <f>Login!H7</f>
        <v>0</v>
      </c>
    </row>
    <row r="14" spans="1:262">
      <c r="B14" t="s">
        <v>271</v>
      </c>
      <c r="C14">
        <f>Login!J7</f>
        <v>0</v>
      </c>
    </row>
    <row r="16" spans="1:262">
      <c r="A16" s="110" t="s">
        <v>322</v>
      </c>
    </row>
    <row r="17" spans="1:3">
      <c r="A17" t="s">
        <v>147</v>
      </c>
    </row>
    <row r="18" spans="1:3">
      <c r="B18">
        <f>BuildingDemand!E21</f>
        <v>0</v>
      </c>
      <c r="C18">
        <f>ConstructingDemandSols!J21</f>
        <v>0</v>
      </c>
    </row>
    <row r="19" spans="1:3">
      <c r="B19">
        <f>BuildingDemand!E22</f>
        <v>0</v>
      </c>
      <c r="C19">
        <f>ConstructingDemandSols!J22</f>
        <v>0</v>
      </c>
    </row>
    <row r="20" spans="1:3">
      <c r="B20">
        <f>BuildingDemand!E23</f>
        <v>0</v>
      </c>
      <c r="C20">
        <f>ConstructingDemandSols!J23</f>
        <v>0</v>
      </c>
    </row>
    <row r="21" spans="1:3">
      <c r="B21">
        <f>BuildingDemand!E24</f>
        <v>0</v>
      </c>
      <c r="C21">
        <f>ConstructingDemandSols!J24</f>
        <v>0</v>
      </c>
    </row>
    <row r="22" spans="1:3">
      <c r="B22">
        <f>BuildingDemand!E25</f>
        <v>0</v>
      </c>
      <c r="C22">
        <f>ConstructingDemandSols!J25</f>
        <v>0</v>
      </c>
    </row>
    <row r="24" spans="1:3">
      <c r="B24" t="str">
        <f>BuildingDemand!D26</f>
        <v>No</v>
      </c>
      <c r="C24">
        <f>ConstructingDemandSols!G26</f>
        <v>0</v>
      </c>
    </row>
    <row r="26" spans="1:3">
      <c r="B26">
        <f>BuildingDemand!I31</f>
        <v>0</v>
      </c>
      <c r="C26">
        <f>ConstructingDemandSols!H27</f>
        <v>1</v>
      </c>
    </row>
    <row r="28" spans="1:3">
      <c r="B28">
        <f>BuildingDemand!E37</f>
        <v>0</v>
      </c>
      <c r="C28">
        <f>ConstructingDemandSols!J37</f>
        <v>0</v>
      </c>
    </row>
    <row r="29" spans="1:3">
      <c r="B29">
        <f>BuildingDemand!E38</f>
        <v>0</v>
      </c>
      <c r="C29">
        <f>ConstructingDemandSols!J38</f>
        <v>0</v>
      </c>
    </row>
    <row r="30" spans="1:3">
      <c r="B30">
        <f>BuildingDemand!E39</f>
        <v>0</v>
      </c>
      <c r="C30">
        <f>ConstructingDemandSols!J39</f>
        <v>0</v>
      </c>
    </row>
    <row r="31" spans="1:3">
      <c r="B31">
        <f>BuildingDemand!E40</f>
        <v>0</v>
      </c>
      <c r="C31">
        <f>ConstructingDemandSols!J40</f>
        <v>0</v>
      </c>
    </row>
    <row r="32" spans="1:3">
      <c r="B32">
        <f>BuildingDemand!E41</f>
        <v>0</v>
      </c>
      <c r="C32">
        <f>ConstructingDemandSols!J41</f>
        <v>0</v>
      </c>
    </row>
    <row r="34" spans="1:3">
      <c r="B34" t="str">
        <f>BuildingDemand!D42</f>
        <v>No</v>
      </c>
      <c r="C34">
        <f>ConstructingDemandSols!G42</f>
        <v>0</v>
      </c>
    </row>
    <row r="36" spans="1:3">
      <c r="B36">
        <f>BuildingDemand!I47</f>
        <v>0</v>
      </c>
      <c r="C36">
        <f>ConstructingDemandSols!H43</f>
        <v>1</v>
      </c>
    </row>
    <row r="38" spans="1:3">
      <c r="B38">
        <f>BuildingDemand!I51</f>
        <v>0</v>
      </c>
      <c r="C38">
        <f>ConstructingDemandSols!H50</f>
        <v>1</v>
      </c>
    </row>
    <row r="40" spans="1:3">
      <c r="B40">
        <f>BuildingDemand!H77</f>
        <v>0</v>
      </c>
      <c r="C40">
        <f>ConstructingDemandSols!G76</f>
        <v>1</v>
      </c>
    </row>
    <row r="42" spans="1:3">
      <c r="B42">
        <f>BuildingDemand!F81</f>
        <v>0</v>
      </c>
      <c r="C42">
        <f>ConstructingDemandSols!G80</f>
        <v>1</v>
      </c>
    </row>
    <row r="44" spans="1:3">
      <c r="B44">
        <f>BuildingDemand!F85</f>
        <v>0</v>
      </c>
      <c r="C44">
        <f>ConstructingDemandSols!G84</f>
        <v>1</v>
      </c>
    </row>
    <row r="46" spans="1:3">
      <c r="B46">
        <f>BuildingDemand!H90</f>
        <v>0</v>
      </c>
      <c r="C46">
        <f>ConstructingDemandSols!G88</f>
        <v>1</v>
      </c>
    </row>
    <row r="48" spans="1:3">
      <c r="A48" s="110" t="s">
        <v>322</v>
      </c>
    </row>
    <row r="49" spans="1:3">
      <c r="A49" t="s">
        <v>277</v>
      </c>
    </row>
    <row r="50" spans="1:3">
      <c r="B50">
        <f>BuildingSupply!E21</f>
        <v>0</v>
      </c>
      <c r="C50">
        <f>CSSols!J21</f>
        <v>0</v>
      </c>
    </row>
    <row r="51" spans="1:3">
      <c r="B51">
        <f>BuildingSupply!E22</f>
        <v>0</v>
      </c>
      <c r="C51">
        <f>CSSols!J22</f>
        <v>0</v>
      </c>
    </row>
    <row r="52" spans="1:3">
      <c r="B52">
        <f>BuildingSupply!E23</f>
        <v>0</v>
      </c>
      <c r="C52">
        <f>CSSols!J23</f>
        <v>0</v>
      </c>
    </row>
    <row r="53" spans="1:3">
      <c r="B53">
        <f>BuildingSupply!E24</f>
        <v>0</v>
      </c>
      <c r="C53">
        <f>CSSols!J24</f>
        <v>0</v>
      </c>
    </row>
    <row r="54" spans="1:3">
      <c r="B54">
        <f>BuildingSupply!E25</f>
        <v>0</v>
      </c>
      <c r="C54">
        <f>CSSols!J25</f>
        <v>0</v>
      </c>
    </row>
    <row r="56" spans="1:3">
      <c r="B56" t="str">
        <f>BuildingSupply!D26</f>
        <v>Yes</v>
      </c>
      <c r="C56">
        <f>CSSols!$H$27</f>
        <v>0</v>
      </c>
    </row>
    <row r="58" spans="1:3">
      <c r="B58">
        <f>BuildingSupply!I31</f>
        <v>0</v>
      </c>
      <c r="C58">
        <f>CSSols!$H$29</f>
        <v>1</v>
      </c>
    </row>
    <row r="60" spans="1:3">
      <c r="B60">
        <f>BuildingSupply!E37</f>
        <v>0</v>
      </c>
      <c r="C60">
        <f>CSSols!J37</f>
        <v>0</v>
      </c>
    </row>
    <row r="61" spans="1:3">
      <c r="B61">
        <f>BuildingSupply!E38</f>
        <v>0</v>
      </c>
      <c r="C61">
        <f>CSSols!J38</f>
        <v>0</v>
      </c>
    </row>
    <row r="62" spans="1:3">
      <c r="B62">
        <f>BuildingSupply!E39</f>
        <v>0</v>
      </c>
      <c r="C62">
        <f>CSSols!J39</f>
        <v>0</v>
      </c>
    </row>
    <row r="63" spans="1:3">
      <c r="B63">
        <f>BuildingSupply!E40</f>
        <v>0</v>
      </c>
      <c r="C63">
        <f>CSSols!J40</f>
        <v>0</v>
      </c>
    </row>
    <row r="64" spans="1:3">
      <c r="B64">
        <f>BuildingSupply!E41</f>
        <v>0</v>
      </c>
      <c r="C64">
        <f>CSSols!J41</f>
        <v>0</v>
      </c>
    </row>
    <row r="66" spans="2:3">
      <c r="B66" t="str">
        <f>BuildingSupply!D42</f>
        <v>No</v>
      </c>
      <c r="C66">
        <f>CSSols!$H$43</f>
        <v>0</v>
      </c>
    </row>
    <row r="68" spans="2:3">
      <c r="B68">
        <f>BuildingSupply!I47</f>
        <v>0</v>
      </c>
      <c r="C68">
        <f>CSSols!H45</f>
        <v>1</v>
      </c>
    </row>
    <row r="70" spans="2:3">
      <c r="B70">
        <f>BuildingSupply!I51</f>
        <v>0</v>
      </c>
      <c r="C70">
        <f>CSSols!H49</f>
        <v>1</v>
      </c>
    </row>
    <row r="72" spans="2:3">
      <c r="B72">
        <f>ConstructingSupply!F76</f>
        <v>0</v>
      </c>
      <c r="C72">
        <f>CSSols!G76</f>
        <v>1</v>
      </c>
    </row>
    <row r="74" spans="2:3">
      <c r="B74">
        <f>BuildingSupply!J77</f>
        <v>0</v>
      </c>
      <c r="C74">
        <f>CSSols!$G$76</f>
        <v>1</v>
      </c>
    </row>
    <row r="76" spans="2:3">
      <c r="B76">
        <f>BuildingSupply!F81</f>
        <v>0</v>
      </c>
      <c r="C76">
        <f>CSSols!$G$80</f>
        <v>1</v>
      </c>
    </row>
    <row r="78" spans="2:3">
      <c r="B78">
        <f>BuildingSupply!F85</f>
        <v>0</v>
      </c>
      <c r="C78">
        <f>CSSols!G84</f>
        <v>1</v>
      </c>
    </row>
    <row r="80" spans="2:3">
      <c r="B80">
        <f>BuildingSupply!H90</f>
        <v>0</v>
      </c>
      <c r="C80">
        <f>CSSols!$G$88</f>
        <v>1</v>
      </c>
    </row>
    <row r="82" spans="1:3">
      <c r="A82" s="110" t="s">
        <v>171</v>
      </c>
    </row>
    <row r="83" spans="1:3">
      <c r="B83">
        <f>Trade!D24</f>
        <v>0</v>
      </c>
      <c r="C83">
        <f>TradeSols!F24</f>
        <v>0</v>
      </c>
    </row>
    <row r="84" spans="1:3">
      <c r="B84">
        <f>Trade!D25</f>
        <v>0</v>
      </c>
      <c r="C84">
        <f>TradeSols!F25</f>
        <v>0</v>
      </c>
    </row>
    <row r="85" spans="1:3">
      <c r="B85">
        <f>Trade!D26</f>
        <v>0</v>
      </c>
      <c r="C85">
        <f>TradeSols!F26</f>
        <v>0</v>
      </c>
    </row>
    <row r="86" spans="1:3">
      <c r="B86">
        <f>Trade!D27</f>
        <v>0</v>
      </c>
      <c r="C86">
        <f>TradeSols!F27</f>
        <v>0</v>
      </c>
    </row>
    <row r="87" spans="1:3">
      <c r="B87">
        <f>Trade!D28</f>
        <v>0</v>
      </c>
      <c r="C87">
        <f>TradeSols!F28</f>
        <v>0</v>
      </c>
    </row>
    <row r="89" spans="1:3">
      <c r="B89" t="str">
        <f>Trade!J24</f>
        <v>Correct</v>
      </c>
      <c r="C89">
        <f>TradeSols!H24</f>
        <v>0</v>
      </c>
    </row>
    <row r="90" spans="1:3">
      <c r="B90" t="str">
        <f>Trade!J25</f>
        <v>Correct</v>
      </c>
      <c r="C90">
        <f>TradeSols!H25</f>
        <v>0</v>
      </c>
    </row>
    <row r="91" spans="1:3">
      <c r="B91" t="str">
        <f>Trade!J26</f>
        <v>Incorrect</v>
      </c>
      <c r="C91">
        <f>TradeSols!H26</f>
        <v>0</v>
      </c>
    </row>
    <row r="92" spans="1:3">
      <c r="B92" t="str">
        <f>Trade!J27</f>
        <v>Correct</v>
      </c>
      <c r="C92">
        <f>TradeSols!H27</f>
        <v>0</v>
      </c>
    </row>
    <row r="93" spans="1:3">
      <c r="B93" t="str">
        <f>Trade!J28</f>
        <v>Correct</v>
      </c>
      <c r="C93">
        <f>TradeSols!H28</f>
        <v>0</v>
      </c>
    </row>
    <row r="95" spans="1:3">
      <c r="B95">
        <f>Trade!B52</f>
        <v>0</v>
      </c>
      <c r="C95">
        <f>TradeSols!G48</f>
        <v>1</v>
      </c>
    </row>
    <row r="97" spans="2:3">
      <c r="B97">
        <f>Trade!B57</f>
        <v>0</v>
      </c>
      <c r="C97">
        <f>TradeSols!G55</f>
        <v>1</v>
      </c>
    </row>
    <row r="99" spans="2:3">
      <c r="B99">
        <f>Trade!D69</f>
        <v>0</v>
      </c>
      <c r="C99">
        <f>TradeSols!F69</f>
        <v>0</v>
      </c>
    </row>
    <row r="100" spans="2:3">
      <c r="B100">
        <f>Trade!D70</f>
        <v>0</v>
      </c>
      <c r="C100">
        <f>TradeSols!F70</f>
        <v>0</v>
      </c>
    </row>
    <row r="101" spans="2:3">
      <c r="B101">
        <f>Trade!D71</f>
        <v>0</v>
      </c>
      <c r="C101">
        <f>TradeSols!F71</f>
        <v>0</v>
      </c>
    </row>
    <row r="102" spans="2:3">
      <c r="B102">
        <f>Trade!D72</f>
        <v>0</v>
      </c>
      <c r="C102">
        <f>TradeSols!F72</f>
        <v>0</v>
      </c>
    </row>
    <row r="103" spans="2:3">
      <c r="B103">
        <f>Trade!D73</f>
        <v>0</v>
      </c>
      <c r="C103">
        <f>TradeSols!F73</f>
        <v>0</v>
      </c>
    </row>
    <row r="105" spans="2:3">
      <c r="B105" t="str">
        <f>Trade!J69</f>
        <v>Incorrect</v>
      </c>
      <c r="C105">
        <f>TradeSols!H69</f>
        <v>0</v>
      </c>
    </row>
    <row r="106" spans="2:3">
      <c r="B106" t="str">
        <f>Trade!J70</f>
        <v>Incorrect</v>
      </c>
      <c r="C106">
        <f>TradeSols!H70</f>
        <v>0</v>
      </c>
    </row>
    <row r="107" spans="2:3">
      <c r="B107" t="str">
        <f>Trade!J71</f>
        <v>Incorrect</v>
      </c>
      <c r="C107">
        <f>TradeSols!H71</f>
        <v>0</v>
      </c>
    </row>
    <row r="108" spans="2:3">
      <c r="B108" t="str">
        <f>Trade!J72</f>
        <v>Correct</v>
      </c>
      <c r="C108">
        <f>TradeSols!H72</f>
        <v>0</v>
      </c>
    </row>
    <row r="109" spans="2:3">
      <c r="B109" t="str">
        <f>Trade!J73</f>
        <v>Correct</v>
      </c>
      <c r="C109">
        <f>TradeSols!H73</f>
        <v>0</v>
      </c>
    </row>
    <row r="111" spans="2:3">
      <c r="B111">
        <f>Trade!B96</f>
        <v>0</v>
      </c>
      <c r="C111">
        <f>TradeSols!H97</f>
        <v>1</v>
      </c>
    </row>
    <row r="113" spans="1:3">
      <c r="B113">
        <f>Trade!B102</f>
        <v>0</v>
      </c>
      <c r="C113">
        <f>TradeSols!H100</f>
        <v>1</v>
      </c>
    </row>
    <row r="115" spans="1:3">
      <c r="B115">
        <f>Trade!B110</f>
        <v>0</v>
      </c>
      <c r="C115">
        <f>TradeSols!H106</f>
        <v>1</v>
      </c>
    </row>
    <row r="117" spans="1:3">
      <c r="A117" s="110" t="s">
        <v>172</v>
      </c>
    </row>
    <row r="118" spans="1:3">
      <c r="B118">
        <f>Scale!C38</f>
        <v>0</v>
      </c>
      <c r="C118">
        <f>ScalSols!J36</f>
        <v>1</v>
      </c>
    </row>
    <row r="120" spans="1:3">
      <c r="B120">
        <f>Scale!C42</f>
        <v>0</v>
      </c>
      <c r="C120">
        <f>ScalSols!J40</f>
        <v>1</v>
      </c>
    </row>
    <row r="122" spans="1:3">
      <c r="B122">
        <f>Scale!C46</f>
        <v>0</v>
      </c>
      <c r="C122">
        <f>ScalSols!J44</f>
        <v>1</v>
      </c>
    </row>
    <row r="124" spans="1:3">
      <c r="B124">
        <f>Scale!C53</f>
        <v>0</v>
      </c>
      <c r="C124">
        <f>ScalSols!J51</f>
        <v>1</v>
      </c>
    </row>
    <row r="126" spans="1:3">
      <c r="B126">
        <f>Scale!C61</f>
        <v>0</v>
      </c>
      <c r="C126">
        <f>ScalSols!J59</f>
        <v>1</v>
      </c>
    </row>
    <row r="128" spans="1:3">
      <c r="B128">
        <f>Scale!C72</f>
        <v>0</v>
      </c>
      <c r="C128">
        <f>ScalSols!J70</f>
        <v>1</v>
      </c>
    </row>
    <row r="130" spans="1:3">
      <c r="B130">
        <f>Scale!C77</f>
        <v>0</v>
      </c>
      <c r="C130">
        <f>ScalSols!J75</f>
        <v>1</v>
      </c>
    </row>
    <row r="132" spans="1:3">
      <c r="B132">
        <f>Scale!C82</f>
        <v>0</v>
      </c>
      <c r="C132">
        <f>ScalSols!J80</f>
        <v>1</v>
      </c>
    </row>
    <row r="134" spans="1:3">
      <c r="A134" s="110" t="s">
        <v>282</v>
      </c>
    </row>
    <row r="135" spans="1:3">
      <c r="B135" s="12">
        <f>MarketMaker!C13</f>
        <v>6</v>
      </c>
      <c r="C135">
        <f>MMSols!G13</f>
        <v>0</v>
      </c>
    </row>
    <row r="136" spans="1:3">
      <c r="B136" s="12">
        <f>MarketMaker!C14</f>
        <v>-10</v>
      </c>
      <c r="C136">
        <f>MMSols!G14</f>
        <v>0</v>
      </c>
    </row>
    <row r="137" spans="1:3">
      <c r="B137" s="12">
        <f>MarketMaker!C15</f>
        <v>-10</v>
      </c>
      <c r="C137">
        <f>MMSols!G15</f>
        <v>0</v>
      </c>
    </row>
    <row r="138" spans="1:3">
      <c r="B138" s="12">
        <f>MarketMaker!C16</f>
        <v>-10</v>
      </c>
      <c r="C138">
        <f>MMSols!G16</f>
        <v>0</v>
      </c>
    </row>
    <row r="139" spans="1:3">
      <c r="B139" s="12">
        <f>MarketMaker!C17</f>
        <v>-10</v>
      </c>
      <c r="C139">
        <f>MMSols!G17</f>
        <v>0</v>
      </c>
    </row>
    <row r="140" spans="1:3">
      <c r="B140" s="12">
        <f>MarketMaker!C18</f>
        <v>-10</v>
      </c>
      <c r="C140">
        <f>MMSols!G18</f>
        <v>0</v>
      </c>
    </row>
    <row r="141" spans="1:3">
      <c r="B141" s="12">
        <f>MarketMaker!C19</f>
        <v>-10</v>
      </c>
      <c r="C141">
        <f>MMSols!G19</f>
        <v>0</v>
      </c>
    </row>
    <row r="142" spans="1:3">
      <c r="B142" s="12">
        <f>MarketMaker!C20</f>
        <v>-10</v>
      </c>
      <c r="C142">
        <f>MMSols!G20</f>
        <v>0</v>
      </c>
    </row>
    <row r="143" spans="1:3">
      <c r="B143" s="12">
        <f>MarketMaker!C21</f>
        <v>-10</v>
      </c>
      <c r="C143">
        <f>MMSols!G21</f>
        <v>0</v>
      </c>
    </row>
    <row r="144" spans="1:3">
      <c r="B144" s="12">
        <f>MarketMaker!C22</f>
        <v>-10</v>
      </c>
      <c r="C144">
        <f>MMSols!G22</f>
        <v>0</v>
      </c>
    </row>
    <row r="146" spans="2:3">
      <c r="B146">
        <f>MarketMaker!B34</f>
        <v>0</v>
      </c>
      <c r="C146">
        <f>MMSols!F32</f>
        <v>1</v>
      </c>
    </row>
    <row r="148" spans="2:3">
      <c r="B148">
        <f>MarketMaker!B39</f>
        <v>0</v>
      </c>
      <c r="C148">
        <f>MMSols!F37</f>
        <v>1</v>
      </c>
    </row>
    <row r="150" spans="2:3">
      <c r="B150">
        <f>MarketMaker!B44</f>
        <v>0</v>
      </c>
      <c r="C150">
        <f>MMSols!F42</f>
        <v>1</v>
      </c>
    </row>
    <row r="152" spans="2:3">
      <c r="B152">
        <f>MarketMaker!B49</f>
        <v>0</v>
      </c>
      <c r="C152">
        <f>MMSols!F47</f>
        <v>1</v>
      </c>
    </row>
  </sheetData>
  <sheetProtection password="CD8E"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F3"/>
  <sheetViews>
    <sheetView workbookViewId="0"/>
  </sheetViews>
  <sheetFormatPr baseColWidth="10" defaultColWidth="8.83203125" defaultRowHeight="12" x14ac:dyDescent="0"/>
  <sheetData>
    <row r="1" spans="1:6" ht="25">
      <c r="A1" s="4">
        <v>3</v>
      </c>
      <c r="B1" s="5" t="s">
        <v>11</v>
      </c>
      <c r="C1" s="6"/>
      <c r="D1" s="7" t="s">
        <v>12</v>
      </c>
      <c r="E1" s="8" t="str">
        <f>CONCATENATE("Good Job! ",Login!F7)</f>
        <v xml:space="preserve">Good Job! </v>
      </c>
      <c r="F1" s="9"/>
    </row>
    <row r="2" spans="1:6">
      <c r="A2" s="10"/>
    </row>
    <row r="3" spans="1:6">
      <c r="A3" s="10"/>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31"/>
  </sheetPr>
  <dimension ref="A1:T92"/>
  <sheetViews>
    <sheetView workbookViewId="0">
      <pane ySplit="4600" topLeftCell="A17"/>
      <selection activeCell="F8" sqref="F8"/>
      <selection pane="bottomLeft" activeCell="A70" sqref="A70"/>
    </sheetView>
  </sheetViews>
  <sheetFormatPr baseColWidth="10" defaultColWidth="8.83203125" defaultRowHeight="12" x14ac:dyDescent="0"/>
  <cols>
    <col min="1" max="1" width="8.83203125" style="36"/>
    <col min="2" max="2" width="16.33203125" style="33" bestFit="1" customWidth="1"/>
    <col min="3" max="3" width="15.5" style="33" bestFit="1" customWidth="1"/>
    <col min="4" max="5" width="8.83203125" style="33"/>
    <col min="6" max="6" width="25.5" style="33" customWidth="1"/>
    <col min="7" max="9" width="8.83203125" style="33"/>
    <col min="10" max="10" width="8.83203125" style="37"/>
    <col min="11" max="20" width="8.83203125" style="23"/>
  </cols>
  <sheetData>
    <row r="1" spans="2:8" ht="12.75" customHeight="1">
      <c r="B1" s="192" t="s">
        <v>64</v>
      </c>
      <c r="C1" s="193"/>
      <c r="D1" s="193"/>
      <c r="E1" s="193"/>
      <c r="F1" s="193"/>
      <c r="G1" s="193"/>
      <c r="H1" s="193"/>
    </row>
    <row r="2" spans="2:8">
      <c r="B2" s="192"/>
      <c r="C2" s="193"/>
      <c r="D2" s="193"/>
      <c r="E2" s="193"/>
      <c r="F2" s="193"/>
      <c r="G2" s="193"/>
      <c r="H2" s="193"/>
    </row>
    <row r="3" spans="2:8" ht="17.5" customHeight="1">
      <c r="B3" s="192"/>
      <c r="C3" s="193"/>
      <c r="D3" s="193"/>
      <c r="E3" s="193"/>
      <c r="F3" s="193"/>
      <c r="G3" s="193"/>
      <c r="H3" s="193"/>
    </row>
    <row r="4" spans="2:8">
      <c r="F4" s="119" t="s">
        <v>294</v>
      </c>
    </row>
    <row r="5" spans="2:8" ht="13">
      <c r="B5" s="38" t="s">
        <v>263</v>
      </c>
      <c r="C5" s="39" t="s">
        <v>60</v>
      </c>
      <c r="D5" s="40"/>
      <c r="E5" s="40"/>
      <c r="F5" s="40"/>
      <c r="G5" s="40"/>
      <c r="H5" s="40"/>
    </row>
    <row r="6" spans="2:8" ht="13">
      <c r="B6" s="40" t="s">
        <v>14</v>
      </c>
      <c r="C6" s="41">
        <f>ConstructingDemandSols!C6</f>
        <v>48.9</v>
      </c>
      <c r="D6" s="40"/>
      <c r="E6" s="40"/>
      <c r="F6" s="42" t="s">
        <v>193</v>
      </c>
      <c r="G6" s="40"/>
      <c r="H6" s="40"/>
    </row>
    <row r="7" spans="2:8" ht="13">
      <c r="B7" s="40" t="s">
        <v>19</v>
      </c>
      <c r="C7" s="41">
        <f>ConstructingDemandSols!C7</f>
        <v>31</v>
      </c>
      <c r="D7" s="40"/>
      <c r="E7" s="40"/>
      <c r="F7" s="40" t="s">
        <v>194</v>
      </c>
      <c r="G7" s="40"/>
      <c r="H7" s="40"/>
    </row>
    <row r="8" spans="2:8" ht="13">
      <c r="B8" s="40" t="s">
        <v>20</v>
      </c>
      <c r="C8" s="41">
        <f>ConstructingDemandSols!C8</f>
        <v>14.5</v>
      </c>
      <c r="D8" s="40"/>
      <c r="E8" s="40"/>
      <c r="F8" s="177" t="s">
        <v>45</v>
      </c>
      <c r="G8" s="38" t="s">
        <v>61</v>
      </c>
    </row>
    <row r="9" spans="2:8" ht="13">
      <c r="B9" s="40" t="s">
        <v>21</v>
      </c>
      <c r="C9" s="41">
        <f>ConstructingDemandSols!C9</f>
        <v>82.1</v>
      </c>
      <c r="D9" s="40"/>
      <c r="E9" s="40"/>
      <c r="F9" s="40"/>
      <c r="G9" s="40"/>
      <c r="H9" s="40"/>
    </row>
    <row r="10" spans="2:8" ht="13">
      <c r="B10" s="40" t="s">
        <v>23</v>
      </c>
      <c r="C10" s="41">
        <f>ConstructingDemandSols!C10</f>
        <v>65.2</v>
      </c>
      <c r="D10" s="40"/>
      <c r="E10" s="40"/>
      <c r="F10" s="40"/>
      <c r="G10" s="40"/>
      <c r="H10" s="40"/>
    </row>
    <row r="11" spans="2:8" ht="13">
      <c r="B11" s="40"/>
      <c r="C11" s="41"/>
      <c r="D11" s="40"/>
      <c r="E11" s="40"/>
      <c r="F11" s="40"/>
      <c r="G11" s="40"/>
      <c r="H11" s="40"/>
    </row>
    <row r="12" spans="2:8" ht="13">
      <c r="B12" s="40"/>
      <c r="C12" s="41"/>
      <c r="D12" s="40"/>
      <c r="E12" s="40"/>
      <c r="F12" s="40"/>
      <c r="G12" s="40"/>
      <c r="H12" s="40"/>
    </row>
    <row r="13" spans="2:8" ht="13">
      <c r="B13" s="40"/>
      <c r="C13" s="41"/>
      <c r="D13" s="40"/>
      <c r="E13" s="40"/>
      <c r="F13" s="40"/>
      <c r="G13" s="40"/>
      <c r="H13" s="40"/>
    </row>
    <row r="14" spans="2:8">
      <c r="C14" s="34"/>
    </row>
    <row r="15" spans="2:8">
      <c r="C15" s="34"/>
    </row>
    <row r="16" spans="2:8">
      <c r="C16" s="34"/>
    </row>
    <row r="17" spans="1:20" s="47" customFormat="1" ht="12.75" customHeight="1">
      <c r="A17" s="44" t="s">
        <v>31</v>
      </c>
      <c r="B17" s="192" t="s">
        <v>293</v>
      </c>
      <c r="C17" s="193"/>
      <c r="D17" s="193"/>
      <c r="E17" s="193"/>
      <c r="F17" s="193"/>
      <c r="G17" s="193"/>
      <c r="H17" s="40"/>
      <c r="I17" s="40"/>
      <c r="J17" s="45"/>
      <c r="K17" s="46"/>
      <c r="L17" s="46"/>
      <c r="M17" s="46"/>
      <c r="N17" s="46"/>
      <c r="O17" s="46"/>
      <c r="P17" s="46"/>
      <c r="Q17" s="46"/>
      <c r="R17" s="46"/>
      <c r="S17" s="46"/>
      <c r="T17" s="46"/>
    </row>
    <row r="18" spans="1:20" s="47" customFormat="1" ht="13">
      <c r="A18" s="44"/>
      <c r="B18" s="192"/>
      <c r="C18" s="193"/>
      <c r="D18" s="193"/>
      <c r="E18" s="193"/>
      <c r="F18" s="193"/>
      <c r="G18" s="193"/>
      <c r="H18" s="40"/>
      <c r="I18" s="40"/>
      <c r="J18" s="45"/>
      <c r="K18" s="46"/>
      <c r="L18" s="46"/>
      <c r="M18" s="46"/>
      <c r="N18" s="46"/>
      <c r="O18" s="46"/>
      <c r="P18" s="46"/>
      <c r="Q18" s="46"/>
      <c r="R18" s="46"/>
      <c r="S18" s="46"/>
      <c r="T18" s="46"/>
    </row>
    <row r="19" spans="1:20" s="47" customFormat="1" ht="13">
      <c r="A19" s="44"/>
      <c r="B19" s="194" t="s">
        <v>295</v>
      </c>
      <c r="C19" s="195"/>
      <c r="D19" s="41">
        <f>ConstructingDemandSols!C19</f>
        <v>65.5</v>
      </c>
      <c r="E19" s="40"/>
      <c r="F19" s="40"/>
      <c r="G19" s="40"/>
      <c r="H19" s="40"/>
      <c r="I19" s="40"/>
      <c r="J19" s="45"/>
      <c r="K19" s="46"/>
      <c r="L19" s="46"/>
      <c r="M19" s="46"/>
      <c r="N19" s="46"/>
      <c r="O19" s="46"/>
      <c r="P19" s="46"/>
      <c r="Q19" s="46"/>
      <c r="R19" s="46"/>
      <c r="S19" s="46"/>
      <c r="T19" s="46"/>
    </row>
    <row r="20" spans="1:20" s="47" customFormat="1" ht="13">
      <c r="A20" s="44"/>
      <c r="B20" s="40"/>
      <c r="C20" s="40"/>
      <c r="D20" s="40"/>
      <c r="E20" s="40"/>
      <c r="F20" s="40"/>
      <c r="G20" s="40"/>
      <c r="H20" s="40"/>
      <c r="I20" s="40"/>
      <c r="J20" s="45"/>
      <c r="K20" s="46"/>
      <c r="L20" s="46"/>
      <c r="M20" s="46"/>
      <c r="N20" s="46"/>
      <c r="O20" s="46"/>
      <c r="P20" s="46"/>
      <c r="Q20" s="46"/>
      <c r="R20" s="46"/>
      <c r="S20" s="46"/>
      <c r="T20" s="46"/>
    </row>
    <row r="21" spans="1:20" s="47" customFormat="1" ht="18" customHeight="1">
      <c r="A21" s="44"/>
      <c r="B21" s="48" t="s">
        <v>14</v>
      </c>
      <c r="C21" s="118">
        <f>IF(ConstructingDemandSols!J21=1,"X",0)</f>
        <v>0</v>
      </c>
      <c r="D21" s="49">
        <f>ConstructingDemandSols!D21</f>
        <v>0</v>
      </c>
      <c r="E21" s="40"/>
      <c r="F21" s="40"/>
      <c r="G21" s="40"/>
      <c r="H21" s="40"/>
      <c r="I21" s="40"/>
      <c r="J21" s="45"/>
      <c r="K21" s="46"/>
      <c r="L21" s="46"/>
      <c r="M21" s="46"/>
      <c r="N21" s="46"/>
      <c r="O21" s="46"/>
      <c r="P21" s="46"/>
      <c r="Q21" s="46"/>
      <c r="R21" s="46"/>
      <c r="S21" s="46"/>
      <c r="T21" s="46"/>
    </row>
    <row r="22" spans="1:20" s="47" customFormat="1" ht="18" customHeight="1">
      <c r="A22" s="44"/>
      <c r="B22" s="48" t="s">
        <v>19</v>
      </c>
      <c r="C22" s="118">
        <f>IF(ConstructingDemandSols!J22=1,"X",0)</f>
        <v>0</v>
      </c>
      <c r="D22" s="49">
        <f>ConstructingDemandSols!D22</f>
        <v>0</v>
      </c>
      <c r="E22" s="40"/>
      <c r="F22" s="40"/>
      <c r="G22" s="40"/>
      <c r="H22" s="40"/>
      <c r="I22" s="40"/>
      <c r="J22" s="45"/>
      <c r="K22" s="46"/>
      <c r="L22" s="46"/>
      <c r="M22" s="46"/>
      <c r="N22" s="46"/>
      <c r="O22" s="46"/>
      <c r="P22" s="46"/>
      <c r="Q22" s="46"/>
      <c r="R22" s="46"/>
      <c r="S22" s="46"/>
      <c r="T22" s="46"/>
    </row>
    <row r="23" spans="1:20" s="47" customFormat="1" ht="18" customHeight="1">
      <c r="A23" s="44"/>
      <c r="B23" s="48" t="s">
        <v>20</v>
      </c>
      <c r="C23" s="118">
        <f>IF(ConstructingDemandSols!J23=1,"X",0)</f>
        <v>0</v>
      </c>
      <c r="D23" s="49">
        <f>ConstructingDemandSols!D23</f>
        <v>0</v>
      </c>
      <c r="E23" s="40"/>
      <c r="F23" s="40"/>
      <c r="G23" s="40"/>
      <c r="H23" s="40"/>
      <c r="I23" s="40"/>
      <c r="J23" s="45"/>
      <c r="K23" s="46"/>
      <c r="L23" s="46"/>
      <c r="M23" s="46"/>
      <c r="N23" s="46"/>
      <c r="O23" s="46"/>
      <c r="P23" s="46"/>
      <c r="Q23" s="46"/>
      <c r="R23" s="46"/>
      <c r="S23" s="46"/>
      <c r="T23" s="46"/>
    </row>
    <row r="24" spans="1:20" s="47" customFormat="1" ht="18" customHeight="1">
      <c r="A24" s="44"/>
      <c r="B24" s="48" t="s">
        <v>21</v>
      </c>
      <c r="C24" s="118">
        <f>IF(ConstructingDemandSols!J24=1,"X",0)</f>
        <v>0</v>
      </c>
      <c r="D24" s="49">
        <f>ConstructingDemandSols!D24</f>
        <v>0</v>
      </c>
      <c r="E24" s="40"/>
      <c r="F24" s="40"/>
      <c r="G24" s="40"/>
      <c r="H24" s="40"/>
      <c r="I24" s="40"/>
      <c r="J24" s="45"/>
      <c r="K24" s="46"/>
      <c r="L24" s="46"/>
      <c r="M24" s="46"/>
      <c r="N24" s="46"/>
      <c r="O24" s="46"/>
      <c r="P24" s="46"/>
      <c r="Q24" s="46"/>
      <c r="R24" s="46"/>
      <c r="S24" s="46"/>
      <c r="T24" s="46"/>
    </row>
    <row r="25" spans="1:20" s="47" customFormat="1" ht="18" customHeight="1">
      <c r="A25" s="44"/>
      <c r="B25" s="48" t="s">
        <v>23</v>
      </c>
      <c r="C25" s="118">
        <f>IF(ConstructingDemandSols!J25=1,"X",0)</f>
        <v>0</v>
      </c>
      <c r="D25" s="49">
        <f>ConstructingDemandSols!D25</f>
        <v>0</v>
      </c>
      <c r="E25" s="40"/>
      <c r="F25" s="40"/>
      <c r="G25" s="40"/>
      <c r="H25" s="40"/>
      <c r="I25" s="40"/>
      <c r="J25" s="45"/>
      <c r="K25" s="46"/>
      <c r="L25" s="46"/>
      <c r="M25" s="46"/>
      <c r="N25" s="46"/>
      <c r="O25" s="46"/>
      <c r="P25" s="46"/>
      <c r="Q25" s="46"/>
      <c r="R25" s="46"/>
      <c r="S25" s="46"/>
      <c r="T25" s="46"/>
    </row>
    <row r="26" spans="1:20" ht="18" customHeight="1">
      <c r="B26" s="117" t="s">
        <v>292</v>
      </c>
      <c r="C26" s="33" t="str">
        <f>IF(ConstructingDemandSols!G26=1,"Yes","No")</f>
        <v>No</v>
      </c>
    </row>
    <row r="29" spans="1:20" s="47" customFormat="1" ht="13">
      <c r="A29" s="44"/>
      <c r="B29" s="40">
        <f>IF(AND(D21="Correct",D22="Correct",D23="Correct",D24="Correct",D25="Correct"),"The number of lessons demanded at price",0)</f>
        <v>0</v>
      </c>
      <c r="C29" s="40"/>
      <c r="D29" s="38"/>
      <c r="E29" s="41">
        <f>IF(AND(D21="Correct",D22="Correct",D23="Correct",D24="Correct",D25="Correct"),ConstructingDemandSols!E29,0)</f>
        <v>0</v>
      </c>
      <c r="F29" s="40">
        <f>IF(AND(D21="Correct",D22="Correct",D23="Correct",D24="Correct",D25="Correct")," is",0)</f>
        <v>0</v>
      </c>
      <c r="G29" s="40"/>
      <c r="H29" s="40"/>
      <c r="I29" s="40"/>
      <c r="J29" s="45"/>
      <c r="K29" s="46"/>
      <c r="L29" s="46"/>
      <c r="M29" s="46"/>
      <c r="N29" s="46"/>
      <c r="O29" s="46"/>
      <c r="P29" s="46"/>
      <c r="Q29" s="46"/>
      <c r="R29" s="46"/>
      <c r="S29" s="46"/>
      <c r="T29" s="46"/>
    </row>
    <row r="30" spans="1:20" s="47" customFormat="1" ht="13">
      <c r="A30" s="44"/>
      <c r="B30" s="40"/>
      <c r="C30" s="40"/>
      <c r="D30" s="38"/>
      <c r="E30" s="50"/>
      <c r="F30" s="40"/>
      <c r="G30" s="40"/>
      <c r="H30" s="40"/>
      <c r="I30" s="40"/>
      <c r="J30" s="45"/>
      <c r="K30" s="46"/>
      <c r="L30" s="46"/>
      <c r="M30" s="46"/>
      <c r="N30" s="46"/>
      <c r="O30" s="46"/>
      <c r="P30" s="46"/>
      <c r="Q30" s="46"/>
      <c r="R30" s="46"/>
      <c r="S30" s="46"/>
      <c r="T30" s="46"/>
    </row>
    <row r="31" spans="1:20" s="47" customFormat="1" ht="13">
      <c r="A31" s="44"/>
      <c r="B31" s="40"/>
      <c r="C31" s="40"/>
      <c r="D31" s="38"/>
      <c r="E31" s="50"/>
      <c r="F31" s="49">
        <f>ConstructingDemandSols!F31</f>
        <v>0</v>
      </c>
      <c r="G31" s="40"/>
      <c r="H31" s="40"/>
      <c r="I31" s="40"/>
      <c r="J31" s="45"/>
      <c r="K31" s="46"/>
      <c r="L31" s="46"/>
      <c r="M31" s="46"/>
      <c r="N31" s="46"/>
      <c r="O31" s="46"/>
      <c r="P31" s="46"/>
      <c r="Q31" s="46"/>
      <c r="R31" s="46"/>
      <c r="S31" s="46"/>
      <c r="T31" s="46"/>
    </row>
    <row r="32" spans="1:20" s="47" customFormat="1" ht="13">
      <c r="A32" s="44"/>
      <c r="B32" s="40"/>
      <c r="C32" s="40"/>
      <c r="D32" s="40"/>
      <c r="E32" s="40"/>
      <c r="F32" s="40"/>
      <c r="G32" s="40"/>
      <c r="H32" s="40"/>
      <c r="I32" s="40"/>
      <c r="J32" s="45"/>
      <c r="K32" s="46"/>
      <c r="L32" s="46"/>
      <c r="M32" s="46"/>
      <c r="N32" s="46"/>
      <c r="O32" s="46"/>
      <c r="P32" s="46"/>
      <c r="Q32" s="46"/>
      <c r="R32" s="46"/>
      <c r="S32" s="46"/>
      <c r="T32" s="46"/>
    </row>
    <row r="33" spans="1:20" s="47" customFormat="1" ht="12.75" customHeight="1">
      <c r="A33" s="44"/>
      <c r="B33" s="192">
        <f>IF(F31="Correct","Now suppose the price of a two hour lesson is as given below.  Which of the students are willing to purchase a lesson at this lower price?  Mark all that apply",0)</f>
        <v>0</v>
      </c>
      <c r="C33" s="193"/>
      <c r="D33" s="193"/>
      <c r="E33" s="193"/>
      <c r="F33" s="193"/>
      <c r="G33" s="193"/>
      <c r="H33" s="40"/>
      <c r="I33" s="40"/>
      <c r="J33" s="45"/>
      <c r="K33" s="46"/>
      <c r="L33" s="46"/>
      <c r="M33" s="46"/>
      <c r="N33" s="46"/>
      <c r="O33" s="46"/>
      <c r="P33" s="46"/>
      <c r="Q33" s="46"/>
      <c r="R33" s="46"/>
      <c r="S33" s="46"/>
      <c r="T33" s="46"/>
    </row>
    <row r="34" spans="1:20" s="47" customFormat="1" ht="13">
      <c r="A34" s="44"/>
      <c r="B34" s="192"/>
      <c r="C34" s="193"/>
      <c r="D34" s="193"/>
      <c r="E34" s="193"/>
      <c r="F34" s="193"/>
      <c r="G34" s="193"/>
      <c r="H34" s="40"/>
      <c r="I34" s="40"/>
      <c r="J34" s="45"/>
      <c r="K34" s="46"/>
      <c r="L34" s="46"/>
      <c r="M34" s="46"/>
      <c r="N34" s="46"/>
      <c r="O34" s="46"/>
      <c r="P34" s="46"/>
      <c r="Q34" s="46"/>
      <c r="R34" s="46"/>
      <c r="S34" s="46"/>
      <c r="T34" s="46"/>
    </row>
    <row r="35" spans="1:20" s="47" customFormat="1" ht="13">
      <c r="A35" s="44"/>
      <c r="B35" s="120">
        <f>IF(F31="Correct","New price = ",0)</f>
        <v>0</v>
      </c>
      <c r="C35" s="41">
        <f>IF(F31="Correct",ConstructingDemandSols!C35,0)</f>
        <v>0</v>
      </c>
      <c r="D35" s="40"/>
      <c r="E35" s="40"/>
      <c r="F35" s="40"/>
      <c r="G35" s="40"/>
      <c r="H35" s="40"/>
      <c r="I35" s="40"/>
      <c r="J35" s="45"/>
      <c r="K35" s="46"/>
      <c r="L35" s="46"/>
      <c r="M35" s="46"/>
      <c r="N35" s="46"/>
      <c r="O35" s="46"/>
      <c r="P35" s="46"/>
      <c r="Q35" s="46"/>
      <c r="R35" s="46"/>
      <c r="S35" s="46"/>
      <c r="T35" s="46"/>
    </row>
    <row r="36" spans="1:20" s="55" customFormat="1" ht="13">
      <c r="A36" s="51"/>
      <c r="B36" s="52"/>
      <c r="C36" s="52"/>
      <c r="D36" s="52"/>
      <c r="E36" s="52"/>
      <c r="F36" s="52"/>
      <c r="G36" s="52"/>
      <c r="H36" s="52"/>
      <c r="I36" s="52"/>
      <c r="J36" s="53"/>
      <c r="K36" s="54"/>
      <c r="L36" s="54"/>
      <c r="M36" s="54"/>
      <c r="N36" s="54"/>
      <c r="O36" s="54"/>
      <c r="P36" s="54"/>
      <c r="Q36" s="54"/>
      <c r="R36" s="54"/>
      <c r="S36" s="54"/>
      <c r="T36" s="54"/>
    </row>
    <row r="37" spans="1:20" s="47" customFormat="1" ht="18" customHeight="1">
      <c r="A37" s="44"/>
      <c r="B37" s="48" t="s">
        <v>14</v>
      </c>
      <c r="C37" s="118">
        <f>IF(ConstructingDemandSols!J37=1,"X",0)</f>
        <v>0</v>
      </c>
      <c r="D37" s="49">
        <f>ConstructingDemandSols!D37</f>
        <v>0</v>
      </c>
      <c r="E37" s="40"/>
      <c r="F37" s="40"/>
      <c r="G37" s="40"/>
      <c r="H37" s="40"/>
      <c r="I37" s="40"/>
      <c r="J37" s="45"/>
      <c r="K37" s="46"/>
      <c r="L37" s="46"/>
      <c r="M37" s="46"/>
      <c r="N37" s="46"/>
      <c r="O37" s="46"/>
      <c r="P37" s="46"/>
      <c r="Q37" s="46"/>
      <c r="R37" s="46"/>
      <c r="S37" s="46"/>
      <c r="T37" s="46"/>
    </row>
    <row r="38" spans="1:20" s="47" customFormat="1" ht="18" customHeight="1">
      <c r="A38" s="44"/>
      <c r="B38" s="48" t="s">
        <v>19</v>
      </c>
      <c r="C38" s="118">
        <f>IF(ConstructingDemandSols!J38=1,"X",0)</f>
        <v>0</v>
      </c>
      <c r="D38" s="49">
        <f>ConstructingDemandSols!D38</f>
        <v>0</v>
      </c>
      <c r="E38" s="40"/>
      <c r="F38" s="40"/>
      <c r="G38" s="40"/>
      <c r="H38" s="40"/>
      <c r="I38" s="40"/>
      <c r="J38" s="45"/>
      <c r="K38" s="46"/>
      <c r="L38" s="46"/>
      <c r="M38" s="46"/>
      <c r="N38" s="46"/>
      <c r="O38" s="46"/>
      <c r="P38" s="46"/>
      <c r="Q38" s="46"/>
      <c r="R38" s="46"/>
      <c r="S38" s="46"/>
      <c r="T38" s="46"/>
    </row>
    <row r="39" spans="1:20" s="47" customFormat="1" ht="18" customHeight="1">
      <c r="A39" s="44"/>
      <c r="B39" s="48" t="s">
        <v>20</v>
      </c>
      <c r="C39" s="118">
        <f>IF(ConstructingDemandSols!J39=1,"X",0)</f>
        <v>0</v>
      </c>
      <c r="D39" s="49">
        <f>ConstructingDemandSols!D39</f>
        <v>0</v>
      </c>
      <c r="E39" s="40"/>
      <c r="F39" s="40"/>
      <c r="G39" s="40"/>
      <c r="H39" s="40"/>
      <c r="I39" s="40"/>
      <c r="J39" s="45"/>
      <c r="K39" s="46"/>
      <c r="L39" s="46"/>
      <c r="M39" s="46"/>
      <c r="N39" s="46"/>
      <c r="O39" s="46"/>
      <c r="P39" s="46"/>
      <c r="Q39" s="46"/>
      <c r="R39" s="46"/>
      <c r="S39" s="46"/>
      <c r="T39" s="46"/>
    </row>
    <row r="40" spans="1:20" s="47" customFormat="1" ht="18" customHeight="1">
      <c r="A40" s="44"/>
      <c r="B40" s="48" t="s">
        <v>21</v>
      </c>
      <c r="C40" s="118">
        <f>IF(ConstructingDemandSols!J40=1,"X",0)</f>
        <v>0</v>
      </c>
      <c r="D40" s="49">
        <f>ConstructingDemandSols!D40</f>
        <v>0</v>
      </c>
      <c r="E40" s="40"/>
      <c r="F40" s="40"/>
      <c r="G40" s="40"/>
      <c r="H40" s="40"/>
      <c r="I40" s="40"/>
      <c r="J40" s="45"/>
      <c r="K40" s="46"/>
      <c r="L40" s="46"/>
      <c r="M40" s="46"/>
      <c r="N40" s="46"/>
      <c r="O40" s="46"/>
      <c r="P40" s="46"/>
      <c r="Q40" s="46"/>
      <c r="R40" s="46"/>
      <c r="S40" s="46"/>
      <c r="T40" s="46"/>
    </row>
    <row r="41" spans="1:20" s="47" customFormat="1" ht="18" customHeight="1">
      <c r="A41" s="44"/>
      <c r="B41" s="48" t="s">
        <v>23</v>
      </c>
      <c r="C41" s="118">
        <f>IF(ConstructingDemandSols!J41=1,"X",0)</f>
        <v>0</v>
      </c>
      <c r="D41" s="49">
        <f>ConstructingDemandSols!D41</f>
        <v>0</v>
      </c>
      <c r="E41" s="40"/>
      <c r="F41" s="40"/>
      <c r="G41" s="40"/>
      <c r="H41" s="40"/>
      <c r="I41" s="40"/>
      <c r="J41" s="45"/>
      <c r="K41" s="46"/>
      <c r="L41" s="46"/>
      <c r="M41" s="46"/>
      <c r="N41" s="46"/>
      <c r="O41" s="46"/>
      <c r="P41" s="46"/>
      <c r="Q41" s="46"/>
      <c r="R41" s="46"/>
      <c r="S41" s="46"/>
      <c r="T41" s="46"/>
    </row>
    <row r="42" spans="1:20" s="55" customFormat="1" ht="18" customHeight="1">
      <c r="A42" s="51"/>
      <c r="B42" s="117" t="s">
        <v>292</v>
      </c>
      <c r="C42" s="33" t="str">
        <f>IF(ConstructingDemandSols!G42=1,"Yes","No")</f>
        <v>No</v>
      </c>
      <c r="D42" s="52"/>
      <c r="E42" s="52"/>
      <c r="F42" s="52"/>
      <c r="G42" s="52"/>
      <c r="H42" s="52"/>
      <c r="I42" s="52"/>
      <c r="J42" s="53"/>
      <c r="K42" s="54"/>
      <c r="L42" s="54"/>
      <c r="M42" s="54"/>
      <c r="N42" s="54"/>
      <c r="O42" s="54"/>
      <c r="P42" s="54"/>
      <c r="Q42" s="54"/>
      <c r="R42" s="54"/>
      <c r="S42" s="54"/>
      <c r="T42" s="54"/>
    </row>
    <row r="43" spans="1:20" s="55" customFormat="1" ht="13">
      <c r="A43" s="51"/>
      <c r="B43" s="52"/>
      <c r="C43" s="52"/>
      <c r="D43" s="52"/>
      <c r="E43" s="52"/>
      <c r="F43" s="52"/>
      <c r="G43" s="52"/>
      <c r="H43" s="52"/>
      <c r="I43" s="52"/>
      <c r="J43" s="53"/>
      <c r="K43" s="54"/>
      <c r="L43" s="54"/>
      <c r="M43" s="54"/>
      <c r="N43" s="54"/>
      <c r="O43" s="54"/>
      <c r="P43" s="54"/>
      <c r="Q43" s="54"/>
      <c r="R43" s="54"/>
      <c r="S43" s="54"/>
      <c r="T43" s="54"/>
    </row>
    <row r="44" spans="1:20" s="55" customFormat="1" ht="13">
      <c r="A44" s="51"/>
      <c r="B44" s="52"/>
      <c r="C44" s="52"/>
      <c r="D44" s="52"/>
      <c r="E44" s="52"/>
      <c r="F44" s="52"/>
      <c r="G44" s="52"/>
      <c r="H44" s="52"/>
      <c r="I44" s="52"/>
      <c r="J44" s="53"/>
      <c r="K44" s="54"/>
      <c r="L44" s="54"/>
      <c r="M44" s="54"/>
      <c r="N44" s="54"/>
      <c r="O44" s="54"/>
      <c r="P44" s="54"/>
      <c r="Q44" s="54"/>
      <c r="R44" s="54"/>
      <c r="S44" s="54"/>
      <c r="T44" s="54"/>
    </row>
    <row r="45" spans="1:20" s="47" customFormat="1" ht="13">
      <c r="A45" s="44"/>
      <c r="B45" s="40">
        <f>IF(AND(D37="Correct",D38="Correct",D39="Correct",D40="Correct",D41="Correct"),"The number of lessons demanded at price",0)</f>
        <v>0</v>
      </c>
      <c r="C45" s="40"/>
      <c r="D45" s="38"/>
      <c r="E45" s="50">
        <f>IF(AND(D37="Correct",D38="Correct",D39="Correct",D40="Correct",D41="Correct"),ConstructingDemandSols!E45,0)</f>
        <v>0</v>
      </c>
      <c r="F45" s="40">
        <f>IF(AND(D37="Correct",D38="Correct",D39="Correct",D40="Correct",D41="Correct")," is",0)</f>
        <v>0</v>
      </c>
      <c r="G45" s="40"/>
      <c r="H45" s="40"/>
      <c r="I45" s="40"/>
      <c r="J45" s="45"/>
      <c r="K45" s="46"/>
      <c r="L45" s="46"/>
      <c r="M45" s="46"/>
      <c r="N45" s="46"/>
      <c r="O45" s="46"/>
      <c r="P45" s="46"/>
      <c r="Q45" s="46"/>
      <c r="R45" s="46"/>
      <c r="S45" s="46"/>
      <c r="T45" s="46"/>
    </row>
    <row r="47" spans="1:20" s="47" customFormat="1" ht="13">
      <c r="A47" s="44"/>
      <c r="B47" s="40"/>
      <c r="C47" s="40"/>
      <c r="D47" s="40"/>
      <c r="E47" s="40"/>
      <c r="F47" s="49">
        <f>ConstructingDemandSols!F47</f>
        <v>0</v>
      </c>
      <c r="G47" s="40"/>
      <c r="H47" s="40"/>
      <c r="I47" s="40"/>
      <c r="J47" s="45"/>
      <c r="K47" s="46"/>
      <c r="L47" s="46"/>
      <c r="M47" s="46"/>
      <c r="N47" s="46"/>
      <c r="O47" s="46"/>
      <c r="P47" s="46"/>
      <c r="Q47" s="46"/>
      <c r="R47" s="46"/>
      <c r="S47" s="46"/>
      <c r="T47" s="46"/>
    </row>
    <row r="48" spans="1:20" s="47" customFormat="1" ht="13">
      <c r="A48" s="44"/>
      <c r="B48" s="40"/>
      <c r="C48" s="40"/>
      <c r="D48" s="40"/>
      <c r="E48" s="40"/>
      <c r="F48" s="40"/>
      <c r="G48" s="40"/>
      <c r="H48" s="40"/>
      <c r="I48" s="40"/>
      <c r="J48" s="45"/>
      <c r="K48" s="46"/>
      <c r="L48" s="46"/>
      <c r="M48" s="46"/>
      <c r="N48" s="46"/>
      <c r="O48" s="46"/>
      <c r="P48" s="46"/>
      <c r="Q48" s="46"/>
      <c r="R48" s="46"/>
      <c r="S48" s="46"/>
      <c r="T48" s="46"/>
    </row>
    <row r="49" spans="1:20" s="47" customFormat="1" ht="13">
      <c r="A49" s="44"/>
      <c r="B49" s="40">
        <f>IF(F47="Correct","From this example we can generalize that as the price falls",0)</f>
        <v>0</v>
      </c>
      <c r="C49" s="40"/>
      <c r="D49" s="40"/>
      <c r="E49" s="40"/>
      <c r="F49" s="40"/>
      <c r="G49" s="40"/>
      <c r="H49" s="40"/>
      <c r="I49" s="40"/>
      <c r="J49" s="45"/>
      <c r="K49" s="46"/>
      <c r="L49" s="46"/>
      <c r="M49" s="46"/>
      <c r="N49" s="46"/>
      <c r="O49" s="46"/>
      <c r="P49" s="46"/>
      <c r="Q49" s="46"/>
      <c r="R49" s="46"/>
      <c r="S49" s="46"/>
      <c r="T49" s="46"/>
    </row>
    <row r="50" spans="1:20" s="47" customFormat="1" ht="13">
      <c r="A50" s="44"/>
      <c r="B50" s="40"/>
      <c r="C50" s="40"/>
      <c r="D50" s="40"/>
      <c r="E50" s="40"/>
      <c r="F50" s="40"/>
      <c r="G50" s="40"/>
      <c r="H50" s="40"/>
      <c r="I50" s="40"/>
      <c r="J50" s="45"/>
      <c r="K50" s="46"/>
      <c r="L50" s="46"/>
      <c r="M50" s="46"/>
      <c r="N50" s="46"/>
      <c r="O50" s="46"/>
      <c r="P50" s="46"/>
      <c r="Q50" s="46"/>
      <c r="R50" s="46"/>
      <c r="S50" s="46"/>
      <c r="T50" s="46"/>
    </row>
    <row r="51" spans="1:20" s="47" customFormat="1" ht="13">
      <c r="A51" s="44"/>
      <c r="B51" s="40"/>
      <c r="C51" s="40"/>
      <c r="D51" s="40"/>
      <c r="E51" s="40"/>
      <c r="F51" s="166">
        <f>ConstructingDemandSols!F51</f>
        <v>0</v>
      </c>
      <c r="G51" s="40"/>
      <c r="H51" s="40"/>
      <c r="I51" s="40"/>
      <c r="J51" s="45"/>
      <c r="K51" s="46"/>
      <c r="L51" s="46"/>
      <c r="M51" s="46"/>
      <c r="N51" s="46"/>
      <c r="O51" s="46"/>
      <c r="P51" s="46"/>
      <c r="Q51" s="46"/>
      <c r="R51" s="46"/>
      <c r="S51" s="46"/>
      <c r="T51" s="46"/>
    </row>
    <row r="52" spans="1:20" s="47" customFormat="1" ht="13">
      <c r="A52" s="44"/>
      <c r="B52" s="40"/>
      <c r="C52" s="40"/>
      <c r="D52" s="40"/>
      <c r="E52" s="40"/>
      <c r="F52" s="49"/>
      <c r="G52" s="40"/>
      <c r="H52" s="40"/>
      <c r="I52" s="40"/>
      <c r="J52" s="45"/>
      <c r="K52" s="46"/>
      <c r="L52" s="46"/>
      <c r="M52" s="46"/>
      <c r="N52" s="46"/>
      <c r="O52" s="46"/>
      <c r="P52" s="46"/>
      <c r="Q52" s="46"/>
      <c r="R52" s="46"/>
      <c r="S52" s="46"/>
      <c r="T52" s="46"/>
    </row>
    <row r="53" spans="1:20" s="47" customFormat="1" ht="12.75" customHeight="1">
      <c r="A53" s="44"/>
      <c r="B53" s="192">
        <f>IF(F51="Correct","Below is a graph which plots the students' valuations in descending order.  The valuations are cumulated to show the aggregate demand at a given price.",0)</f>
        <v>0</v>
      </c>
      <c r="C53" s="193"/>
      <c r="D53" s="193"/>
      <c r="E53" s="193"/>
      <c r="F53" s="193"/>
      <c r="G53" s="193"/>
      <c r="H53" s="193"/>
      <c r="I53" s="40"/>
      <c r="J53" s="45"/>
      <c r="K53" s="46"/>
      <c r="L53" s="46"/>
      <c r="M53" s="46"/>
      <c r="N53" s="46"/>
      <c r="O53" s="46"/>
      <c r="P53" s="46"/>
      <c r="Q53" s="46"/>
      <c r="R53" s="46"/>
      <c r="S53" s="46"/>
      <c r="T53" s="46"/>
    </row>
    <row r="54" spans="1:20" s="47" customFormat="1" ht="13">
      <c r="A54" s="44"/>
      <c r="B54" s="192"/>
      <c r="C54" s="193"/>
      <c r="D54" s="193"/>
      <c r="E54" s="193"/>
      <c r="F54" s="193"/>
      <c r="G54" s="193"/>
      <c r="H54" s="193"/>
      <c r="I54" s="40"/>
      <c r="J54" s="45"/>
      <c r="K54" s="46"/>
      <c r="L54" s="46"/>
      <c r="M54" s="46"/>
      <c r="N54" s="46"/>
      <c r="O54" s="46"/>
      <c r="P54" s="46"/>
      <c r="Q54" s="46"/>
      <c r="R54" s="46"/>
      <c r="S54" s="46"/>
      <c r="T54" s="46"/>
    </row>
    <row r="57" spans="1:20" s="47" customFormat="1" ht="13">
      <c r="A57" s="44"/>
      <c r="B57" s="40"/>
      <c r="C57" s="40"/>
      <c r="D57" s="40"/>
      <c r="E57" s="40"/>
      <c r="F57" s="40"/>
      <c r="H57" s="38"/>
      <c r="I57" s="40"/>
      <c r="J57" s="45"/>
      <c r="K57" s="46"/>
      <c r="L57" s="46"/>
      <c r="M57" s="46"/>
      <c r="N57" s="46"/>
      <c r="O57" s="46"/>
      <c r="P57" s="46"/>
      <c r="Q57" s="46"/>
      <c r="R57" s="46"/>
      <c r="S57" s="46"/>
      <c r="T57" s="46"/>
    </row>
    <row r="58" spans="1:20" s="47" customFormat="1" ht="13">
      <c r="A58" s="44"/>
      <c r="B58" s="40"/>
      <c r="C58" s="40"/>
      <c r="D58" s="40"/>
      <c r="E58" s="40"/>
      <c r="F58" s="40"/>
      <c r="G58" s="40"/>
      <c r="I58" s="40"/>
      <c r="J58" s="45"/>
      <c r="K58" s="46"/>
      <c r="L58" s="46"/>
      <c r="M58" s="46"/>
      <c r="N58" s="46"/>
      <c r="O58" s="46"/>
      <c r="P58" s="46"/>
      <c r="Q58" s="46"/>
      <c r="R58" s="46"/>
      <c r="S58" s="46"/>
      <c r="T58" s="46"/>
    </row>
    <row r="59" spans="1:20" s="47" customFormat="1" ht="13">
      <c r="A59" s="44"/>
      <c r="B59" s="40"/>
      <c r="C59" s="40"/>
      <c r="D59" s="40"/>
      <c r="E59" s="40"/>
      <c r="F59" s="40"/>
      <c r="G59" s="38" t="s">
        <v>44</v>
      </c>
      <c r="H59" s="40"/>
      <c r="I59" s="40"/>
      <c r="J59" s="45"/>
      <c r="K59" s="46"/>
      <c r="L59" s="46"/>
      <c r="M59" s="46"/>
      <c r="N59" s="46"/>
      <c r="O59" s="46"/>
      <c r="P59" s="46"/>
      <c r="Q59" s="46"/>
      <c r="R59" s="46"/>
      <c r="S59" s="46"/>
      <c r="T59" s="46"/>
    </row>
    <row r="60" spans="1:20" s="47" customFormat="1" ht="13">
      <c r="A60" s="44"/>
      <c r="B60" s="40"/>
      <c r="C60" s="40"/>
      <c r="D60" s="40"/>
      <c r="E60" s="40"/>
      <c r="F60" s="40"/>
      <c r="G60" s="40"/>
      <c r="H60" s="41">
        <f>ConstructingDemandSols!I$58</f>
        <v>25.2</v>
      </c>
      <c r="I60" s="40"/>
      <c r="J60" s="45"/>
      <c r="K60" s="46"/>
      <c r="L60" s="46"/>
      <c r="M60" s="46"/>
      <c r="N60" s="46"/>
      <c r="O60" s="46"/>
      <c r="P60" s="46"/>
      <c r="Q60" s="46"/>
      <c r="R60" s="46"/>
      <c r="S60" s="46"/>
      <c r="T60" s="46"/>
    </row>
    <row r="61" spans="1:20" s="47" customFormat="1" ht="13">
      <c r="A61" s="44"/>
      <c r="B61" s="40"/>
      <c r="C61" s="40"/>
      <c r="D61" s="40"/>
      <c r="E61" s="40"/>
      <c r="F61" s="40"/>
      <c r="G61" s="40"/>
      <c r="H61" s="40"/>
      <c r="I61" s="40"/>
      <c r="J61" s="45"/>
      <c r="K61" s="46"/>
      <c r="L61" s="46"/>
      <c r="M61" s="46"/>
      <c r="N61" s="46"/>
      <c r="O61" s="46"/>
      <c r="P61" s="46"/>
      <c r="Q61" s="46"/>
      <c r="R61" s="46"/>
      <c r="S61" s="46"/>
      <c r="T61" s="46"/>
    </row>
    <row r="62" spans="1:20" s="47" customFormat="1" ht="13">
      <c r="A62" s="44"/>
      <c r="B62" s="40"/>
      <c r="C62" s="40"/>
      <c r="D62" s="40"/>
      <c r="E62" s="40"/>
      <c r="F62" s="40"/>
      <c r="G62" s="40"/>
      <c r="H62" s="40"/>
      <c r="I62" s="40"/>
      <c r="J62" s="45"/>
      <c r="K62" s="46"/>
      <c r="L62" s="46"/>
      <c r="M62" s="46"/>
      <c r="N62" s="46"/>
      <c r="O62" s="46"/>
      <c r="P62" s="46"/>
      <c r="Q62" s="46"/>
      <c r="R62" s="46"/>
      <c r="S62" s="46"/>
      <c r="T62" s="46"/>
    </row>
    <row r="63" spans="1:20" s="47" customFormat="1" ht="13">
      <c r="A63" s="44"/>
      <c r="B63" s="40"/>
      <c r="C63" s="40"/>
      <c r="D63" s="40"/>
      <c r="E63" s="40"/>
      <c r="F63" s="40"/>
      <c r="G63" s="40"/>
      <c r="H63" s="40"/>
      <c r="I63" s="40"/>
      <c r="J63" s="45"/>
      <c r="K63" s="46"/>
      <c r="L63" s="46"/>
      <c r="M63" s="46"/>
      <c r="N63" s="46"/>
      <c r="O63" s="46"/>
      <c r="P63" s="46"/>
      <c r="Q63" s="46"/>
      <c r="R63" s="46"/>
      <c r="S63" s="46"/>
      <c r="T63" s="46"/>
    </row>
    <row r="64" spans="1:20" s="47" customFormat="1" ht="13">
      <c r="A64" s="44"/>
      <c r="B64" s="40"/>
      <c r="C64" s="40"/>
      <c r="D64" s="40"/>
      <c r="E64" s="40"/>
      <c r="F64" s="40"/>
      <c r="G64" s="40"/>
      <c r="H64" s="40"/>
      <c r="I64" s="40"/>
      <c r="J64" s="45"/>
      <c r="K64" s="46"/>
      <c r="L64" s="46"/>
      <c r="M64" s="46"/>
      <c r="N64" s="46"/>
      <c r="O64" s="46"/>
      <c r="P64" s="46"/>
      <c r="Q64" s="46"/>
      <c r="R64" s="46"/>
      <c r="S64" s="46"/>
      <c r="T64" s="46"/>
    </row>
    <row r="65" spans="1:20" s="47" customFormat="1" ht="13">
      <c r="A65" s="44"/>
      <c r="B65" s="40"/>
      <c r="C65" s="40"/>
      <c r="D65" s="40"/>
      <c r="E65" s="40"/>
      <c r="F65" s="40"/>
      <c r="G65" s="40"/>
      <c r="H65" s="40"/>
      <c r="I65" s="40"/>
      <c r="J65" s="45"/>
      <c r="K65" s="46"/>
      <c r="L65" s="46"/>
      <c r="M65" s="46"/>
      <c r="N65" s="46"/>
      <c r="O65" s="46"/>
      <c r="P65" s="46"/>
      <c r="Q65" s="46"/>
      <c r="R65" s="46"/>
      <c r="S65" s="46"/>
      <c r="T65" s="46"/>
    </row>
    <row r="66" spans="1:20" s="47" customFormat="1" ht="13">
      <c r="A66" s="44"/>
      <c r="B66" s="40"/>
      <c r="C66" s="40"/>
      <c r="D66" s="40"/>
      <c r="E66" s="40"/>
      <c r="F66" s="40"/>
      <c r="G66" s="40"/>
      <c r="H66" s="40"/>
      <c r="I66" s="40"/>
      <c r="J66" s="45"/>
      <c r="K66" s="46"/>
      <c r="L66" s="46"/>
      <c r="M66" s="46"/>
      <c r="N66" s="46"/>
      <c r="O66" s="46"/>
      <c r="P66" s="46"/>
      <c r="Q66" s="46"/>
      <c r="R66" s="46"/>
      <c r="S66" s="46"/>
      <c r="T66" s="46"/>
    </row>
    <row r="67" spans="1:20" s="47" customFormat="1" ht="13">
      <c r="A67" s="44"/>
      <c r="B67" s="40"/>
      <c r="C67" s="40"/>
      <c r="D67" s="40"/>
      <c r="E67" s="40"/>
      <c r="F67" s="40"/>
      <c r="G67" s="40"/>
      <c r="H67" s="40"/>
      <c r="I67" s="40"/>
      <c r="J67" s="45"/>
      <c r="K67" s="46"/>
      <c r="L67" s="46"/>
      <c r="M67" s="46"/>
      <c r="N67" s="46"/>
      <c r="O67" s="46"/>
      <c r="P67" s="46"/>
      <c r="Q67" s="46"/>
      <c r="R67" s="46"/>
      <c r="S67" s="46"/>
      <c r="T67" s="46"/>
    </row>
    <row r="68" spans="1:20" s="47" customFormat="1" ht="13">
      <c r="A68" s="44"/>
      <c r="B68" s="40"/>
      <c r="C68" s="40"/>
      <c r="D68" s="40"/>
      <c r="E68" s="40"/>
      <c r="F68" s="40"/>
      <c r="G68" s="40"/>
      <c r="H68" s="40"/>
      <c r="I68" s="40"/>
      <c r="J68" s="45"/>
      <c r="K68" s="46"/>
      <c r="L68" s="46"/>
      <c r="M68" s="46"/>
      <c r="N68" s="46"/>
      <c r="O68" s="46"/>
      <c r="P68" s="46"/>
      <c r="Q68" s="46"/>
      <c r="R68" s="46"/>
      <c r="S68" s="46"/>
      <c r="T68" s="46"/>
    </row>
    <row r="69" spans="1:20" s="47" customFormat="1" ht="13">
      <c r="A69" s="44"/>
      <c r="B69" s="40"/>
      <c r="C69" s="40"/>
      <c r="D69" s="40"/>
      <c r="E69" s="40"/>
      <c r="F69" s="40"/>
      <c r="G69" s="40"/>
      <c r="H69" s="40"/>
      <c r="I69" s="40"/>
      <c r="J69" s="45"/>
      <c r="K69" s="46"/>
      <c r="L69" s="46"/>
      <c r="M69" s="46"/>
      <c r="N69" s="46"/>
      <c r="O69" s="46"/>
      <c r="P69" s="46"/>
      <c r="Q69" s="46"/>
      <c r="R69" s="46"/>
      <c r="S69" s="46"/>
      <c r="T69" s="46"/>
    </row>
    <row r="70" spans="1:20" s="47" customFormat="1" ht="13">
      <c r="A70" s="56" t="s">
        <v>13</v>
      </c>
      <c r="B70" s="40"/>
      <c r="C70" s="40"/>
      <c r="D70" s="40"/>
      <c r="E70" s="40"/>
      <c r="F70" s="40"/>
      <c r="G70" s="40"/>
      <c r="H70" s="40"/>
      <c r="I70" s="40"/>
      <c r="J70" s="45"/>
      <c r="K70" s="46"/>
      <c r="L70" s="46"/>
      <c r="M70" s="46"/>
      <c r="N70" s="46"/>
      <c r="O70" s="46"/>
      <c r="P70" s="46"/>
      <c r="Q70" s="46"/>
      <c r="R70" s="46"/>
      <c r="S70" s="46"/>
      <c r="T70" s="46"/>
    </row>
    <row r="71" spans="1:20" s="47" customFormat="1" ht="13">
      <c r="A71" s="44"/>
      <c r="B71" s="40"/>
      <c r="C71" s="40"/>
      <c r="D71" s="40"/>
      <c r="E71" s="40"/>
      <c r="F71" s="40"/>
      <c r="G71" s="40"/>
      <c r="H71" s="40"/>
      <c r="I71" s="40"/>
      <c r="J71" s="45"/>
      <c r="K71" s="46"/>
      <c r="L71" s="46"/>
      <c r="M71" s="46"/>
      <c r="N71" s="46"/>
      <c r="O71" s="46"/>
      <c r="P71" s="46"/>
      <c r="Q71" s="46"/>
      <c r="R71" s="46"/>
      <c r="S71" s="46"/>
      <c r="T71" s="46"/>
    </row>
    <row r="72" spans="1:20" s="47" customFormat="1" ht="13">
      <c r="A72" s="44"/>
      <c r="B72" s="196">
        <f>IF(F51="Correct","To make the graph appear in the upper frame, click the link there.  Use the Select Price button to help visualize the answers to the following questions.",0)</f>
        <v>0</v>
      </c>
      <c r="C72" s="197"/>
      <c r="D72" s="197"/>
      <c r="E72" s="197"/>
      <c r="F72" s="197"/>
      <c r="G72" s="197"/>
      <c r="H72" s="197"/>
      <c r="I72" s="121"/>
      <c r="J72" s="45"/>
      <c r="K72" s="46"/>
      <c r="L72" s="46"/>
      <c r="M72" s="46"/>
      <c r="N72" s="46"/>
      <c r="O72" s="46"/>
      <c r="P72" s="46"/>
      <c r="Q72" s="46"/>
      <c r="R72" s="46"/>
      <c r="S72" s="46"/>
      <c r="T72" s="46"/>
    </row>
    <row r="73" spans="1:20" s="47" customFormat="1" ht="13">
      <c r="A73" s="44"/>
      <c r="B73" s="198"/>
      <c r="C73" s="197"/>
      <c r="D73" s="197"/>
      <c r="E73" s="197"/>
      <c r="F73" s="197"/>
      <c r="G73" s="197"/>
      <c r="H73" s="197"/>
      <c r="I73" s="121"/>
      <c r="J73" s="45"/>
      <c r="K73" s="46"/>
      <c r="L73" s="46"/>
      <c r="M73" s="46"/>
      <c r="N73" s="46"/>
      <c r="O73" s="46"/>
      <c r="P73" s="46"/>
      <c r="Q73" s="46"/>
      <c r="R73" s="46"/>
      <c r="S73" s="46"/>
      <c r="T73" s="46"/>
    </row>
    <row r="75" spans="1:20" s="47" customFormat="1" ht="13">
      <c r="A75" s="44"/>
      <c r="B75" s="40">
        <f>IF(B72=0,0,CONCATENATE("Suppose the price is greater than ",ConstructingDemandSols!D75," but is less than ",ConstructingDemandSols!B76))</f>
        <v>0</v>
      </c>
      <c r="C75" s="40"/>
      <c r="D75" s="58"/>
      <c r="E75" s="40"/>
      <c r="F75" s="40"/>
      <c r="G75" s="40"/>
      <c r="H75" s="40"/>
      <c r="I75" s="40"/>
      <c r="J75" s="45"/>
      <c r="K75" s="46"/>
      <c r="L75" s="46"/>
      <c r="M75" s="46"/>
      <c r="N75" s="46"/>
      <c r="O75" s="46"/>
      <c r="P75" s="46"/>
      <c r="Q75" s="46"/>
      <c r="R75" s="46"/>
      <c r="S75" s="46"/>
      <c r="T75" s="46"/>
    </row>
    <row r="76" spans="1:20" s="47" customFormat="1" ht="13">
      <c r="A76" s="44"/>
      <c r="B76" s="40">
        <f>IF(B72=0,0,"Then the quantity demanded is")</f>
        <v>0</v>
      </c>
      <c r="D76" s="40"/>
      <c r="E76" s="40"/>
      <c r="F76" s="57">
        <f>ConstructingDemandSols!F76</f>
        <v>0</v>
      </c>
      <c r="G76" s="40"/>
      <c r="H76" s="40"/>
      <c r="I76" s="40"/>
      <c r="J76" s="45"/>
      <c r="K76" s="46"/>
      <c r="L76" s="46"/>
      <c r="M76" s="46"/>
      <c r="N76" s="46"/>
      <c r="O76" s="46"/>
      <c r="P76" s="46"/>
      <c r="Q76" s="46"/>
      <c r="R76" s="46"/>
      <c r="S76" s="46"/>
      <c r="T76" s="46"/>
    </row>
    <row r="79" spans="1:20" s="47" customFormat="1" ht="13">
      <c r="A79" s="44"/>
      <c r="B79" s="40">
        <f>IF(F76="Correct",CONCATENATE("Suppose the price is greater than ",ConstructingDemandSols!D79,"  Then the quantity demanded"),0)</f>
        <v>0</v>
      </c>
      <c r="C79" s="40"/>
      <c r="D79" s="38"/>
      <c r="E79" s="40"/>
      <c r="F79" s="40"/>
      <c r="G79" s="40"/>
      <c r="H79" s="40"/>
      <c r="I79" s="40"/>
      <c r="J79" s="45"/>
      <c r="K79" s="46"/>
      <c r="L79" s="46"/>
      <c r="M79" s="46"/>
      <c r="N79" s="46"/>
      <c r="O79" s="46"/>
      <c r="P79" s="46"/>
      <c r="Q79" s="46"/>
      <c r="R79" s="46"/>
      <c r="S79" s="46"/>
      <c r="T79" s="46"/>
    </row>
    <row r="80" spans="1:20" s="47" customFormat="1" ht="13">
      <c r="A80" s="44"/>
      <c r="B80" s="40">
        <f>IF(F76="Correct","is",0)</f>
        <v>0</v>
      </c>
      <c r="C80" s="57">
        <f>ConstructingDemandSols!C80</f>
        <v>0</v>
      </c>
      <c r="D80" s="40"/>
      <c r="E80" s="40"/>
      <c r="F80" s="40"/>
      <c r="G80" s="40"/>
      <c r="H80" s="40"/>
      <c r="I80" s="40"/>
      <c r="J80" s="45"/>
      <c r="K80" s="46"/>
      <c r="L80" s="46"/>
      <c r="M80" s="46"/>
      <c r="N80" s="46"/>
      <c r="O80" s="46"/>
      <c r="P80" s="46"/>
      <c r="Q80" s="46"/>
      <c r="R80" s="46"/>
      <c r="S80" s="46"/>
      <c r="T80" s="46"/>
    </row>
    <row r="83" spans="1:20" s="47" customFormat="1" ht="13">
      <c r="A83" s="44"/>
      <c r="B83" s="40">
        <f>IF(C80="Correct",CONCATENATE("Suppose the price is less than ",ConstructingDemandSols!D83,"  Then the quantity demanded"),0)</f>
        <v>0</v>
      </c>
      <c r="C83" s="40"/>
      <c r="D83" s="38"/>
      <c r="E83" s="40"/>
      <c r="F83" s="40"/>
      <c r="G83" s="40"/>
      <c r="H83" s="40"/>
      <c r="I83" s="40"/>
      <c r="J83" s="45"/>
      <c r="K83" s="46"/>
      <c r="L83" s="46"/>
      <c r="M83" s="46"/>
      <c r="N83" s="46"/>
      <c r="O83" s="46"/>
      <c r="P83" s="46"/>
      <c r="Q83" s="46"/>
      <c r="R83" s="46"/>
      <c r="S83" s="46"/>
      <c r="T83" s="46"/>
    </row>
    <row r="84" spans="1:20" s="47" customFormat="1" ht="13">
      <c r="A84" s="44"/>
      <c r="B84" s="40">
        <f>IF(C80="Correct","is",0)</f>
        <v>0</v>
      </c>
      <c r="C84" s="57">
        <f>ConstructingDemandSols!C84</f>
        <v>0</v>
      </c>
      <c r="D84" s="40"/>
      <c r="E84" s="40"/>
      <c r="F84" s="40"/>
      <c r="G84" s="40"/>
      <c r="H84" s="40"/>
      <c r="I84" s="40"/>
      <c r="J84" s="45"/>
      <c r="K84" s="46"/>
      <c r="L84" s="46"/>
      <c r="M84" s="46"/>
      <c r="N84" s="46"/>
      <c r="O84" s="46"/>
      <c r="P84" s="46"/>
      <c r="Q84" s="46"/>
      <c r="R84" s="46"/>
      <c r="S84" s="46"/>
      <c r="T84" s="46"/>
    </row>
    <row r="85" spans="1:20" s="47" customFormat="1" ht="13">
      <c r="A85" s="44"/>
      <c r="B85" s="40"/>
      <c r="C85" s="40"/>
      <c r="D85" s="40"/>
      <c r="E85" s="40"/>
      <c r="F85" s="40"/>
      <c r="G85" s="40"/>
      <c r="H85" s="40"/>
      <c r="I85" s="40"/>
      <c r="J85" s="45"/>
      <c r="K85" s="46"/>
      <c r="L85" s="46"/>
      <c r="M85" s="46"/>
      <c r="N85" s="46"/>
      <c r="O85" s="46"/>
      <c r="P85" s="46"/>
      <c r="Q85" s="46"/>
      <c r="R85" s="46"/>
      <c r="S85" s="46"/>
      <c r="T85" s="46"/>
    </row>
    <row r="86" spans="1:20" s="47" customFormat="1" ht="13">
      <c r="A86" s="44"/>
      <c r="B86" s="40"/>
      <c r="C86" s="40"/>
      <c r="D86" s="40"/>
      <c r="E86" s="40"/>
      <c r="F86" s="40"/>
      <c r="G86" s="40"/>
      <c r="H86" s="40"/>
      <c r="I86" s="40"/>
      <c r="J86" s="45"/>
      <c r="K86" s="46"/>
      <c r="L86" s="46"/>
      <c r="M86" s="46"/>
      <c r="N86" s="46"/>
      <c r="O86" s="46"/>
      <c r="P86" s="46"/>
      <c r="Q86" s="46"/>
      <c r="R86" s="46"/>
      <c r="S86" s="46"/>
      <c r="T86" s="46"/>
    </row>
    <row r="87" spans="1:20" s="47" customFormat="1" ht="13">
      <c r="A87" s="44"/>
      <c r="B87" s="191">
        <f>IF(C84="Correct","The step function in the graph is termed the Demand Curve.  Based on the shape of the curve in the graph we conclude",0)</f>
        <v>0</v>
      </c>
      <c r="C87" s="191"/>
      <c r="D87" s="191"/>
      <c r="E87" s="191"/>
      <c r="F87" s="191"/>
      <c r="G87" s="40"/>
      <c r="H87" s="40"/>
      <c r="I87" s="40"/>
      <c r="J87" s="45"/>
      <c r="K87" s="46"/>
      <c r="L87" s="46"/>
      <c r="M87" s="46"/>
      <c r="N87" s="46"/>
      <c r="O87" s="46"/>
      <c r="P87" s="46"/>
      <c r="Q87" s="46"/>
      <c r="R87" s="46"/>
      <c r="S87" s="46"/>
      <c r="T87" s="46"/>
    </row>
    <row r="88" spans="1:20" s="47" customFormat="1" ht="13">
      <c r="A88" s="44"/>
      <c r="B88" s="191"/>
      <c r="C88" s="191"/>
      <c r="D88" s="191"/>
      <c r="E88" s="191"/>
      <c r="F88" s="191"/>
      <c r="G88" s="40"/>
      <c r="H88" s="40"/>
      <c r="I88" s="40"/>
      <c r="J88" s="45"/>
      <c r="K88" s="46"/>
      <c r="L88" s="46"/>
      <c r="M88" s="46"/>
      <c r="N88" s="46"/>
      <c r="O88" s="46"/>
      <c r="P88" s="46"/>
      <c r="Q88" s="46"/>
      <c r="R88" s="46"/>
      <c r="S88" s="46"/>
      <c r="T88" s="46"/>
    </row>
    <row r="89" spans="1:20" s="47" customFormat="1" ht="13">
      <c r="A89" s="44"/>
      <c r="B89" s="40"/>
      <c r="C89" s="40"/>
      <c r="D89" s="40"/>
      <c r="E89" s="40"/>
      <c r="F89" s="40"/>
      <c r="G89" s="59"/>
      <c r="H89" s="59"/>
      <c r="I89" s="40"/>
      <c r="J89" s="45"/>
      <c r="K89" s="46"/>
      <c r="L89" s="46"/>
      <c r="M89" s="46"/>
      <c r="N89" s="46"/>
      <c r="O89" s="46"/>
      <c r="P89" s="46"/>
      <c r="Q89" s="46"/>
      <c r="R89" s="46"/>
      <c r="S89" s="46"/>
      <c r="T89" s="46"/>
    </row>
    <row r="90" spans="1:20" s="47" customFormat="1" ht="13">
      <c r="A90" s="44"/>
      <c r="B90" s="40"/>
      <c r="C90" s="40"/>
      <c r="D90" s="40"/>
      <c r="E90" s="40"/>
      <c r="F90" s="57">
        <f>ConstructingDemandSols!F90</f>
        <v>0</v>
      </c>
      <c r="G90" s="40"/>
      <c r="H90" s="40"/>
      <c r="I90" s="40"/>
      <c r="J90" s="45"/>
      <c r="K90" s="46"/>
      <c r="L90" s="46"/>
      <c r="M90" s="46"/>
      <c r="N90" s="46"/>
      <c r="O90" s="46"/>
      <c r="P90" s="46"/>
      <c r="Q90" s="46"/>
      <c r="R90" s="46"/>
      <c r="S90" s="46"/>
      <c r="T90" s="46"/>
    </row>
    <row r="91" spans="1:20" ht="15">
      <c r="G91" s="35"/>
    </row>
    <row r="92" spans="1:20" ht="16">
      <c r="E92" s="124">
        <f>IF(AND(F90="Correct",F47="Correct",F51="Correct", F76="Correct",C80="Correct",C84="Correct",F90="Correct"),"Very Good! Go to the next sheet.",0)</f>
        <v>0</v>
      </c>
      <c r="F92" s="40"/>
    </row>
  </sheetData>
  <sheetProtection selectLockedCells="1"/>
  <mergeCells count="7">
    <mergeCell ref="B87:F88"/>
    <mergeCell ref="B1:H3"/>
    <mergeCell ref="B17:G18"/>
    <mergeCell ref="B33:G34"/>
    <mergeCell ref="B53:H54"/>
    <mergeCell ref="B19:C19"/>
    <mergeCell ref="B72:H73"/>
  </mergeCells>
  <phoneticPr fontId="8" type="noConversion"/>
  <conditionalFormatting sqref="B17:I95">
    <cfRule type="cellIs" dxfId="51" priority="1" operator="equal">
      <formula>"Incorrect"</formula>
    </cfRule>
    <cfRule type="cellIs" dxfId="50" priority="2" operator="equal">
      <formula>"Correct"</formula>
    </cfRule>
    <cfRule type="cellIs" dxfId="49" priority="3" operator="equal">
      <formula>0</formula>
    </cfRule>
  </conditionalFormatting>
  <hyperlinks>
    <hyperlink ref="F8" location="ConstructingDemand!A70" display="Go To Graph"/>
  </hyperlinks>
  <pageMargins left="0.75" right="0.75" top="1" bottom="1" header="0.5" footer="0.5"/>
  <pageSetup orientation="portrait" horizontalDpi="200" verticalDpi="200"/>
  <headerFooter alignWithMargins="0"/>
  <drawing r:id="rId1"/>
  <legacyDrawing r:id="rId2"/>
  <oleObjects>
    <mc:AlternateContent xmlns:mc="http://schemas.openxmlformats.org/markup-compatibility/2006">
      <mc:Choice Requires="x14">
        <oleObject progId="word.document.8" dvAspect="DVASPECT_ICON" shapeId="46103" r:id="rId3">
          <objectPr locked="0" defaultSize="0" autoPict="0" r:id="rId4">
            <anchor moveWithCells="1">
              <from>
                <xdr:col>6</xdr:col>
                <xdr:colOff>114300</xdr:colOff>
                <xdr:row>8</xdr:row>
                <xdr:rowOff>25400</xdr:rowOff>
              </from>
              <to>
                <xdr:col>7</xdr:col>
                <xdr:colOff>342900</xdr:colOff>
                <xdr:row>12</xdr:row>
                <xdr:rowOff>76200</xdr:rowOff>
              </to>
            </anchor>
          </objectPr>
        </oleObject>
      </mc:Choice>
      <mc:Fallback>
        <oleObject progId="word.document.8" dvAspect="DVASPECT_ICON" shapeId="46103" r:id="rId3"/>
      </mc:Fallback>
    </mc:AlternateContent>
  </oleObjects>
  <mc:AlternateContent xmlns:mc="http://schemas.openxmlformats.org/markup-compatibility/2006">
    <mc:Choice Requires="x14">
      <controls>
        <mc:AlternateContent xmlns:mc="http://schemas.openxmlformats.org/markup-compatibility/2006">
          <mc:Choice Requires="x14">
            <control shapeId="46093" r:id="rId5" name="Drop Down 13">
              <controlPr defaultSize="0" autoLine="0" autoPict="0">
                <anchor moveWithCells="1">
                  <from>
                    <xdr:col>5</xdr:col>
                    <xdr:colOff>228600</xdr:colOff>
                    <xdr:row>27</xdr:row>
                    <xdr:rowOff>165100</xdr:rowOff>
                  </from>
                  <to>
                    <xdr:col>5</xdr:col>
                    <xdr:colOff>1168400</xdr:colOff>
                    <xdr:row>29</xdr:row>
                    <xdr:rowOff>38100</xdr:rowOff>
                  </to>
                </anchor>
              </controlPr>
            </control>
          </mc:Choice>
          <mc:Fallback/>
        </mc:AlternateContent>
        <mc:AlternateContent xmlns:mc="http://schemas.openxmlformats.org/markup-compatibility/2006">
          <mc:Choice Requires="x14">
            <control shapeId="46094" r:id="rId6" name="Drop Down 14">
              <controlPr defaultSize="0" autoLine="0" autoPict="0">
                <anchor moveWithCells="1">
                  <from>
                    <xdr:col>5</xdr:col>
                    <xdr:colOff>254000</xdr:colOff>
                    <xdr:row>43</xdr:row>
                    <xdr:rowOff>139700</xdr:rowOff>
                  </from>
                  <to>
                    <xdr:col>5</xdr:col>
                    <xdr:colOff>1676400</xdr:colOff>
                    <xdr:row>45</xdr:row>
                    <xdr:rowOff>38100</xdr:rowOff>
                  </to>
                </anchor>
              </controlPr>
            </control>
          </mc:Choice>
          <mc:Fallback/>
        </mc:AlternateContent>
        <mc:AlternateContent xmlns:mc="http://schemas.openxmlformats.org/markup-compatibility/2006">
          <mc:Choice Requires="x14">
            <control shapeId="46095" r:id="rId7" name="Drop Down 15">
              <controlPr defaultSize="0" autoLine="0" autoPict="0">
                <anchor moveWithCells="1">
                  <from>
                    <xdr:col>1</xdr:col>
                    <xdr:colOff>596900</xdr:colOff>
                    <xdr:row>49</xdr:row>
                    <xdr:rowOff>76200</xdr:rowOff>
                  </from>
                  <to>
                    <xdr:col>5</xdr:col>
                    <xdr:colOff>215900</xdr:colOff>
                    <xdr:row>50</xdr:row>
                    <xdr:rowOff>127000</xdr:rowOff>
                  </to>
                </anchor>
              </controlPr>
            </control>
          </mc:Choice>
          <mc:Fallback/>
        </mc:AlternateContent>
        <mc:AlternateContent xmlns:mc="http://schemas.openxmlformats.org/markup-compatibility/2006">
          <mc:Choice Requires="x14">
            <control shapeId="46098" r:id="rId8" name="Drop Down 18">
              <controlPr defaultSize="0" autoLine="0" autoPict="0">
                <anchor moveWithCells="1">
                  <from>
                    <xdr:col>3</xdr:col>
                    <xdr:colOff>0</xdr:colOff>
                    <xdr:row>75</xdr:row>
                    <xdr:rowOff>0</xdr:rowOff>
                  </from>
                  <to>
                    <xdr:col>5</xdr:col>
                    <xdr:colOff>63500</xdr:colOff>
                    <xdr:row>76</xdr:row>
                    <xdr:rowOff>25400</xdr:rowOff>
                  </to>
                </anchor>
              </controlPr>
            </control>
          </mc:Choice>
          <mc:Fallback/>
        </mc:AlternateContent>
        <mc:AlternateContent xmlns:mc="http://schemas.openxmlformats.org/markup-compatibility/2006">
          <mc:Choice Requires="x14">
            <control shapeId="46099" r:id="rId9" name="Drop Down 19">
              <controlPr defaultSize="0" autoLine="0" autoPict="0">
                <anchor moveWithCells="1">
                  <from>
                    <xdr:col>1</xdr:col>
                    <xdr:colOff>190500</xdr:colOff>
                    <xdr:row>79</xdr:row>
                    <xdr:rowOff>12700</xdr:rowOff>
                  </from>
                  <to>
                    <xdr:col>1</xdr:col>
                    <xdr:colOff>508000</xdr:colOff>
                    <xdr:row>80</xdr:row>
                    <xdr:rowOff>38100</xdr:rowOff>
                  </to>
                </anchor>
              </controlPr>
            </control>
          </mc:Choice>
          <mc:Fallback/>
        </mc:AlternateContent>
        <mc:AlternateContent xmlns:mc="http://schemas.openxmlformats.org/markup-compatibility/2006">
          <mc:Choice Requires="x14">
            <control shapeId="46100" r:id="rId10" name="Drop Down 20">
              <controlPr defaultSize="0" autoLine="0" autoPict="0">
                <anchor moveWithCells="1">
                  <from>
                    <xdr:col>1</xdr:col>
                    <xdr:colOff>177800</xdr:colOff>
                    <xdr:row>83</xdr:row>
                    <xdr:rowOff>12700</xdr:rowOff>
                  </from>
                  <to>
                    <xdr:col>2</xdr:col>
                    <xdr:colOff>12700</xdr:colOff>
                    <xdr:row>84</xdr:row>
                    <xdr:rowOff>50800</xdr:rowOff>
                  </to>
                </anchor>
              </controlPr>
            </control>
          </mc:Choice>
          <mc:Fallback/>
        </mc:AlternateContent>
        <mc:AlternateContent xmlns:mc="http://schemas.openxmlformats.org/markup-compatibility/2006">
          <mc:Choice Requires="x14">
            <control shapeId="46101" r:id="rId11" name="Drop Down 21">
              <controlPr defaultSize="0" autoLine="0" autoPict="0">
                <anchor moveWithCells="1">
                  <from>
                    <xdr:col>2</xdr:col>
                    <xdr:colOff>292100</xdr:colOff>
                    <xdr:row>88</xdr:row>
                    <xdr:rowOff>38100</xdr:rowOff>
                  </from>
                  <to>
                    <xdr:col>5</xdr:col>
                    <xdr:colOff>228600</xdr:colOff>
                    <xdr:row>89</xdr:row>
                    <xdr:rowOff>76200</xdr:rowOff>
                  </to>
                </anchor>
              </controlPr>
            </control>
          </mc:Choice>
          <mc:Fallback/>
        </mc:AlternateContent>
        <mc:AlternateContent xmlns:mc="http://schemas.openxmlformats.org/markup-compatibility/2006">
          <mc:Choice Requires="x14">
            <control shapeId="46104" r:id="rId12" name="Spinner 24">
              <controlPr defaultSize="0" autoPict="0">
                <anchor moveWithCells="1" sizeWithCells="1">
                  <from>
                    <xdr:col>1</xdr:col>
                    <xdr:colOff>711200</xdr:colOff>
                    <xdr:row>20</xdr:row>
                    <xdr:rowOff>25400</xdr:rowOff>
                  </from>
                  <to>
                    <xdr:col>1</xdr:col>
                    <xdr:colOff>889000</xdr:colOff>
                    <xdr:row>20</xdr:row>
                    <xdr:rowOff>203200</xdr:rowOff>
                  </to>
                </anchor>
              </controlPr>
            </control>
          </mc:Choice>
          <mc:Fallback/>
        </mc:AlternateContent>
        <mc:AlternateContent xmlns:mc="http://schemas.openxmlformats.org/markup-compatibility/2006">
          <mc:Choice Requires="x14">
            <control shapeId="46105" r:id="rId13" name="Spinner 25">
              <controlPr defaultSize="0" autoPict="0">
                <anchor moveWithCells="1" sizeWithCells="1">
                  <from>
                    <xdr:col>1</xdr:col>
                    <xdr:colOff>711200</xdr:colOff>
                    <xdr:row>21</xdr:row>
                    <xdr:rowOff>25400</xdr:rowOff>
                  </from>
                  <to>
                    <xdr:col>1</xdr:col>
                    <xdr:colOff>889000</xdr:colOff>
                    <xdr:row>21</xdr:row>
                    <xdr:rowOff>203200</xdr:rowOff>
                  </to>
                </anchor>
              </controlPr>
            </control>
          </mc:Choice>
          <mc:Fallback/>
        </mc:AlternateContent>
        <mc:AlternateContent xmlns:mc="http://schemas.openxmlformats.org/markup-compatibility/2006">
          <mc:Choice Requires="x14">
            <control shapeId="46106" r:id="rId14" name="Spinner 26">
              <controlPr defaultSize="0" autoPict="0">
                <anchor moveWithCells="1" sizeWithCells="1">
                  <from>
                    <xdr:col>1</xdr:col>
                    <xdr:colOff>711200</xdr:colOff>
                    <xdr:row>22</xdr:row>
                    <xdr:rowOff>25400</xdr:rowOff>
                  </from>
                  <to>
                    <xdr:col>1</xdr:col>
                    <xdr:colOff>889000</xdr:colOff>
                    <xdr:row>22</xdr:row>
                    <xdr:rowOff>203200</xdr:rowOff>
                  </to>
                </anchor>
              </controlPr>
            </control>
          </mc:Choice>
          <mc:Fallback/>
        </mc:AlternateContent>
        <mc:AlternateContent xmlns:mc="http://schemas.openxmlformats.org/markup-compatibility/2006">
          <mc:Choice Requires="x14">
            <control shapeId="46107" r:id="rId15" name="Spinner 27">
              <controlPr defaultSize="0" autoPict="0">
                <anchor moveWithCells="1" sizeWithCells="1">
                  <from>
                    <xdr:col>1</xdr:col>
                    <xdr:colOff>711200</xdr:colOff>
                    <xdr:row>23</xdr:row>
                    <xdr:rowOff>25400</xdr:rowOff>
                  </from>
                  <to>
                    <xdr:col>1</xdr:col>
                    <xdr:colOff>889000</xdr:colOff>
                    <xdr:row>23</xdr:row>
                    <xdr:rowOff>203200</xdr:rowOff>
                  </to>
                </anchor>
              </controlPr>
            </control>
          </mc:Choice>
          <mc:Fallback/>
        </mc:AlternateContent>
        <mc:AlternateContent xmlns:mc="http://schemas.openxmlformats.org/markup-compatibility/2006">
          <mc:Choice Requires="x14">
            <control shapeId="46108" r:id="rId16" name="Spinner 28">
              <controlPr defaultSize="0" autoPict="0">
                <anchor moveWithCells="1" sizeWithCells="1">
                  <from>
                    <xdr:col>1</xdr:col>
                    <xdr:colOff>711200</xdr:colOff>
                    <xdr:row>24</xdr:row>
                    <xdr:rowOff>25400</xdr:rowOff>
                  </from>
                  <to>
                    <xdr:col>1</xdr:col>
                    <xdr:colOff>889000</xdr:colOff>
                    <xdr:row>24</xdr:row>
                    <xdr:rowOff>203200</xdr:rowOff>
                  </to>
                </anchor>
              </controlPr>
            </control>
          </mc:Choice>
          <mc:Fallback/>
        </mc:AlternateContent>
        <mc:AlternateContent xmlns:mc="http://schemas.openxmlformats.org/markup-compatibility/2006">
          <mc:Choice Requires="x14">
            <control shapeId="46110" r:id="rId17" name="Spinner 30">
              <controlPr defaultSize="0" autoPict="0">
                <anchor moveWithCells="1" sizeWithCells="1">
                  <from>
                    <xdr:col>1</xdr:col>
                    <xdr:colOff>812800</xdr:colOff>
                    <xdr:row>25</xdr:row>
                    <xdr:rowOff>50800</xdr:rowOff>
                  </from>
                  <to>
                    <xdr:col>1</xdr:col>
                    <xdr:colOff>990600</xdr:colOff>
                    <xdr:row>25</xdr:row>
                    <xdr:rowOff>228600</xdr:rowOff>
                  </to>
                </anchor>
              </controlPr>
            </control>
          </mc:Choice>
          <mc:Fallback/>
        </mc:AlternateContent>
        <mc:AlternateContent xmlns:mc="http://schemas.openxmlformats.org/markup-compatibility/2006">
          <mc:Choice Requires="x14">
            <control shapeId="46112" r:id="rId18" name="Spinner 32">
              <controlPr defaultSize="0" autoPict="0">
                <anchor moveWithCells="1" sizeWithCells="1">
                  <from>
                    <xdr:col>1</xdr:col>
                    <xdr:colOff>711200</xdr:colOff>
                    <xdr:row>36</xdr:row>
                    <xdr:rowOff>25400</xdr:rowOff>
                  </from>
                  <to>
                    <xdr:col>1</xdr:col>
                    <xdr:colOff>889000</xdr:colOff>
                    <xdr:row>36</xdr:row>
                    <xdr:rowOff>203200</xdr:rowOff>
                  </to>
                </anchor>
              </controlPr>
            </control>
          </mc:Choice>
          <mc:Fallback/>
        </mc:AlternateContent>
        <mc:AlternateContent xmlns:mc="http://schemas.openxmlformats.org/markup-compatibility/2006">
          <mc:Choice Requires="x14">
            <control shapeId="46113" r:id="rId19" name="Spinner 33">
              <controlPr defaultSize="0" autoPict="0">
                <anchor moveWithCells="1" sizeWithCells="1">
                  <from>
                    <xdr:col>1</xdr:col>
                    <xdr:colOff>711200</xdr:colOff>
                    <xdr:row>37</xdr:row>
                    <xdr:rowOff>25400</xdr:rowOff>
                  </from>
                  <to>
                    <xdr:col>1</xdr:col>
                    <xdr:colOff>889000</xdr:colOff>
                    <xdr:row>37</xdr:row>
                    <xdr:rowOff>203200</xdr:rowOff>
                  </to>
                </anchor>
              </controlPr>
            </control>
          </mc:Choice>
          <mc:Fallback/>
        </mc:AlternateContent>
        <mc:AlternateContent xmlns:mc="http://schemas.openxmlformats.org/markup-compatibility/2006">
          <mc:Choice Requires="x14">
            <control shapeId="46114" r:id="rId20" name="Spinner 34">
              <controlPr defaultSize="0" autoPict="0">
                <anchor moveWithCells="1" sizeWithCells="1">
                  <from>
                    <xdr:col>1</xdr:col>
                    <xdr:colOff>711200</xdr:colOff>
                    <xdr:row>38</xdr:row>
                    <xdr:rowOff>25400</xdr:rowOff>
                  </from>
                  <to>
                    <xdr:col>1</xdr:col>
                    <xdr:colOff>889000</xdr:colOff>
                    <xdr:row>38</xdr:row>
                    <xdr:rowOff>203200</xdr:rowOff>
                  </to>
                </anchor>
              </controlPr>
            </control>
          </mc:Choice>
          <mc:Fallback/>
        </mc:AlternateContent>
        <mc:AlternateContent xmlns:mc="http://schemas.openxmlformats.org/markup-compatibility/2006">
          <mc:Choice Requires="x14">
            <control shapeId="46115" r:id="rId21" name="Spinner 35">
              <controlPr defaultSize="0" autoPict="0">
                <anchor moveWithCells="1" sizeWithCells="1">
                  <from>
                    <xdr:col>1</xdr:col>
                    <xdr:colOff>711200</xdr:colOff>
                    <xdr:row>39</xdr:row>
                    <xdr:rowOff>25400</xdr:rowOff>
                  </from>
                  <to>
                    <xdr:col>1</xdr:col>
                    <xdr:colOff>889000</xdr:colOff>
                    <xdr:row>39</xdr:row>
                    <xdr:rowOff>203200</xdr:rowOff>
                  </to>
                </anchor>
              </controlPr>
            </control>
          </mc:Choice>
          <mc:Fallback/>
        </mc:AlternateContent>
        <mc:AlternateContent xmlns:mc="http://schemas.openxmlformats.org/markup-compatibility/2006">
          <mc:Choice Requires="x14">
            <control shapeId="46116" r:id="rId22" name="Spinner 36">
              <controlPr defaultSize="0" autoPict="0">
                <anchor moveWithCells="1" sizeWithCells="1">
                  <from>
                    <xdr:col>1</xdr:col>
                    <xdr:colOff>711200</xdr:colOff>
                    <xdr:row>40</xdr:row>
                    <xdr:rowOff>25400</xdr:rowOff>
                  </from>
                  <to>
                    <xdr:col>1</xdr:col>
                    <xdr:colOff>889000</xdr:colOff>
                    <xdr:row>40</xdr:row>
                    <xdr:rowOff>203200</xdr:rowOff>
                  </to>
                </anchor>
              </controlPr>
            </control>
          </mc:Choice>
          <mc:Fallback/>
        </mc:AlternateContent>
        <mc:AlternateContent xmlns:mc="http://schemas.openxmlformats.org/markup-compatibility/2006">
          <mc:Choice Requires="x14">
            <control shapeId="46117" r:id="rId23" name="Spinner 37">
              <controlPr defaultSize="0" autoPict="0">
                <anchor moveWithCells="1" sizeWithCells="1">
                  <from>
                    <xdr:col>1</xdr:col>
                    <xdr:colOff>812800</xdr:colOff>
                    <xdr:row>41</xdr:row>
                    <xdr:rowOff>50800</xdr:rowOff>
                  </from>
                  <to>
                    <xdr:col>1</xdr:col>
                    <xdr:colOff>990600</xdr:colOff>
                    <xdr:row>41</xdr:row>
                    <xdr:rowOff>228600</xdr:rowOff>
                  </to>
                </anchor>
              </controlPr>
            </control>
          </mc:Choice>
          <mc:Fallback/>
        </mc:AlternateContent>
        <mc:AlternateContent xmlns:mc="http://schemas.openxmlformats.org/markup-compatibility/2006">
          <mc:Choice Requires="x14">
            <control shapeId="46118" r:id="rId24" name="Spinner 38">
              <controlPr defaultSize="0" autoPict="0">
                <anchor moveWithCells="1" sizeWithCells="1">
                  <from>
                    <xdr:col>6</xdr:col>
                    <xdr:colOff>241300</xdr:colOff>
                    <xdr:row>59</xdr:row>
                    <xdr:rowOff>25400</xdr:rowOff>
                  </from>
                  <to>
                    <xdr:col>6</xdr:col>
                    <xdr:colOff>444500</xdr:colOff>
                    <xdr:row>60</xdr:row>
                    <xdr:rowOff>50800</xdr:rowOff>
                  </to>
                </anchor>
              </controlPr>
            </control>
          </mc:Choice>
          <mc:Fallback/>
        </mc:AlternateContent>
        <mc:AlternateContent xmlns:mc="http://schemas.openxmlformats.org/markup-compatibility/2006">
          <mc:Choice Requires="x14">
            <control shapeId="46119" r:id="rId25" name="Drop Down 39">
              <controlPr defaultSize="0" autoLine="0" autoPict="0">
                <anchor moveWithCells="1">
                  <from>
                    <xdr:col>1</xdr:col>
                    <xdr:colOff>190500</xdr:colOff>
                    <xdr:row>79</xdr:row>
                    <xdr:rowOff>25400</xdr:rowOff>
                  </from>
                  <to>
                    <xdr:col>2</xdr:col>
                    <xdr:colOff>12700</xdr:colOff>
                    <xdr:row>80</xdr:row>
                    <xdr:rowOff>63500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O90"/>
  <sheetViews>
    <sheetView topLeftCell="A58" workbookViewId="0">
      <selection activeCell="G52" sqref="G52"/>
    </sheetView>
  </sheetViews>
  <sheetFormatPr baseColWidth="10" defaultColWidth="8.83203125" defaultRowHeight="12" x14ac:dyDescent="0"/>
  <cols>
    <col min="1" max="1" width="8.83203125" style="15"/>
    <col min="2" max="2" width="16.33203125" bestFit="1" customWidth="1"/>
    <col min="3" max="3" width="15.5" bestFit="1" customWidth="1"/>
    <col min="6" max="6" width="25.5" customWidth="1"/>
  </cols>
  <sheetData>
    <row r="1" spans="2:15" ht="12.75" customHeight="1">
      <c r="B1" s="199" t="s">
        <v>36</v>
      </c>
      <c r="C1" s="199"/>
      <c r="D1" s="199"/>
      <c r="E1" s="199"/>
      <c r="F1" s="199"/>
      <c r="G1" s="199"/>
      <c r="H1" t="s">
        <v>28</v>
      </c>
      <c r="I1" s="12">
        <f>MEDIAN($C$6:$C$10)</f>
        <v>48.9</v>
      </c>
      <c r="K1">
        <v>82.1</v>
      </c>
      <c r="L1">
        <v>89</v>
      </c>
    </row>
    <row r="2" spans="2:15">
      <c r="B2" s="199"/>
      <c r="C2" s="199"/>
      <c r="D2" s="199"/>
      <c r="E2" s="199"/>
      <c r="F2" s="199"/>
      <c r="G2" s="199"/>
      <c r="H2" t="s">
        <v>29</v>
      </c>
      <c r="I2" s="12">
        <f>MAX($C$6:$C$10)</f>
        <v>82.1</v>
      </c>
      <c r="K2">
        <v>65.2</v>
      </c>
      <c r="L2">
        <v>70.5</v>
      </c>
    </row>
    <row r="3" spans="2:15">
      <c r="B3" s="199"/>
      <c r="C3" s="199"/>
      <c r="D3" s="199"/>
      <c r="E3" s="199"/>
      <c r="F3" s="199"/>
      <c r="G3" s="199"/>
      <c r="H3" t="s">
        <v>30</v>
      </c>
      <c r="I3" s="12">
        <f>MIN($C$6:$C$10)</f>
        <v>14.5</v>
      </c>
      <c r="K3">
        <v>48.9</v>
      </c>
      <c r="L3">
        <v>60.1</v>
      </c>
    </row>
    <row r="4" spans="2:15">
      <c r="K4">
        <v>31</v>
      </c>
      <c r="L4">
        <v>38.700000000000003</v>
      </c>
    </row>
    <row r="5" spans="2:15">
      <c r="B5" s="1" t="s">
        <v>24</v>
      </c>
      <c r="C5" s="13" t="s">
        <v>26</v>
      </c>
      <c r="E5" s="1" t="s">
        <v>25</v>
      </c>
      <c r="F5" s="13" t="s">
        <v>27</v>
      </c>
      <c r="K5">
        <v>14.5</v>
      </c>
      <c r="L5">
        <v>22.3</v>
      </c>
    </row>
    <row r="6" spans="2:15">
      <c r="B6" t="s">
        <v>14</v>
      </c>
      <c r="C6" s="12">
        <f>IF(OR($K$7=0,$K$7=1),K1,IF(OR($K$7=2,$K$7=3),K3,IF(OR($K$7=4,$K$7=5),K5,IF(OR($K$7=6,$K$7=7),K4,K2))))</f>
        <v>48.9</v>
      </c>
      <c r="D6" s="12">
        <f>IF(OR($K$7=0,$K$7=1),L1,IF(OR($K$7=2,$K$7=3),L3,IF(OR($K$7=4,$K$7=5),L5,IF(OR($K$7=6,$K$7=7),L4,L2))))</f>
        <v>60.1</v>
      </c>
      <c r="E6" t="s">
        <v>18</v>
      </c>
      <c r="F6" s="12">
        <f>D6</f>
        <v>60.1</v>
      </c>
      <c r="I6" s="19" t="s">
        <v>45</v>
      </c>
    </row>
    <row r="7" spans="2:15">
      <c r="B7" t="s">
        <v>19</v>
      </c>
      <c r="C7" s="12">
        <f>IF(OR($K$7=0,$K$7=1),K2,IF(OR($K$7=2,$K$7=3),K4,IF(OR($K$7=4,$K$7=5),K1,IF(OR($K$7=6,$K$7=7),K3,K5))))</f>
        <v>31</v>
      </c>
      <c r="D7" s="12">
        <f>IF(OR($K$7=0,$K$7=1),L2,IF(OR($K$7=2,$K$7=3),L4,IF(OR($K$7=4,$K$7=5),L1,IF(OR($K$7=6,$K$7=7),L3,L5))))</f>
        <v>38.700000000000003</v>
      </c>
      <c r="E7" t="s">
        <v>22</v>
      </c>
      <c r="F7" s="12">
        <f>D7</f>
        <v>38.700000000000003</v>
      </c>
      <c r="K7">
        <f>VALUE(RIGHT(ID!C29+ID!D29+ID!G6+ID!H6+ID!I6))</f>
        <v>3</v>
      </c>
    </row>
    <row r="8" spans="2:15">
      <c r="B8" t="s">
        <v>20</v>
      </c>
      <c r="C8" s="12">
        <f>IF(OR($K$7=0,$K$7=1),K3,IF(OR($K$7=2,$K$7=3),K5,IF(OR($K$7=4,$K$7=5),K2,IF(OR($K$7=6,$K$7=7),K2,K4))))</f>
        <v>14.5</v>
      </c>
      <c r="D8" s="12">
        <f>IF(OR($K$7=0,$K$7=1),L3,IF(OR($K$7=2,$K$7=3),L5,IF(OR($K$7=4,$K$7=5),L2,IF(OR($K$7=6,$K$7=7),L2,L4))))</f>
        <v>22.3</v>
      </c>
      <c r="E8" t="s">
        <v>15</v>
      </c>
      <c r="F8" s="12">
        <f>D8</f>
        <v>22.3</v>
      </c>
    </row>
    <row r="9" spans="2:15">
      <c r="B9" t="s">
        <v>21</v>
      </c>
      <c r="C9" s="12">
        <f>IF(OR($K$7=0,$K$7=1),K4,IF(OR($K$7=2,$K$7=3),K1,IF(OR($K$7=4,$K$7=5),K3,IF(OR($K$7=6,$K$7=7),K1,K3))))</f>
        <v>82.1</v>
      </c>
      <c r="D9" s="12">
        <f>IF(OR($K$7=0,$K$7=1),L4,IF(OR($K$7=2,$K$7=3),L1,IF(OR($K$7=4,$K$7=5),L3,IF(OR($K$7=6,$K$7=7),L1,L3))))</f>
        <v>89</v>
      </c>
      <c r="E9" t="s">
        <v>16</v>
      </c>
      <c r="F9" s="12">
        <f>D9</f>
        <v>89</v>
      </c>
    </row>
    <row r="10" spans="2:15">
      <c r="B10" t="s">
        <v>23</v>
      </c>
      <c r="C10" s="12">
        <f>IF(OR($K$7=0,$K$7=1),K5,IF(OR($K$7=2,$K$7=3),K2,IF(OR($K$7=4,$K$7=5),K4,IF(OR($K$7=6,$K$7=7),K5,K1))))</f>
        <v>65.2</v>
      </c>
      <c r="D10" s="12">
        <f>IF(OR($K$7=0,$K$7=1),L5,IF(OR($K$7=2,$K$7=3),L2,IF(OR($K$7=4,$K$7=5),L4,IF(OR($K$7=6,$K$7=7),L5,L1))))</f>
        <v>70.5</v>
      </c>
      <c r="E10" t="s">
        <v>17</v>
      </c>
      <c r="F10" s="12">
        <f>D10</f>
        <v>70.5</v>
      </c>
    </row>
    <row r="11" spans="2:15">
      <c r="C11" s="12"/>
      <c r="D11" s="12"/>
      <c r="F11" s="12"/>
    </row>
    <row r="12" spans="2:15">
      <c r="C12" s="12"/>
      <c r="D12" s="12"/>
      <c r="F12" s="12"/>
    </row>
    <row r="13" spans="2:15" ht="15">
      <c r="B13" s="115" t="s">
        <v>291</v>
      </c>
      <c r="C13" s="12"/>
      <c r="D13" s="12">
        <v>0</v>
      </c>
      <c r="F13" s="12"/>
    </row>
    <row r="14" spans="2:15">
      <c r="C14" s="116">
        <f>IF(D13=1,B13,0)</f>
        <v>0</v>
      </c>
      <c r="D14" s="12"/>
      <c r="F14" s="12"/>
    </row>
    <row r="15" spans="2:15">
      <c r="C15" s="12"/>
      <c r="D15" s="12"/>
      <c r="F15" s="12"/>
      <c r="O15" s="110" t="s">
        <v>288</v>
      </c>
    </row>
    <row r="16" spans="2:15">
      <c r="O16" s="110" t="s">
        <v>289</v>
      </c>
    </row>
    <row r="17" spans="1:15">
      <c r="A17" s="15" t="s">
        <v>31</v>
      </c>
      <c r="B17" s="200" t="s">
        <v>34</v>
      </c>
      <c r="C17" s="200"/>
      <c r="D17" s="200"/>
      <c r="E17" s="200"/>
      <c r="F17" s="200"/>
      <c r="O17" s="110" t="s">
        <v>290</v>
      </c>
    </row>
    <row r="18" spans="1:15">
      <c r="B18" s="200"/>
      <c r="C18" s="200"/>
      <c r="D18" s="200"/>
      <c r="E18" s="200"/>
      <c r="F18" s="200"/>
    </row>
    <row r="19" spans="1:15">
      <c r="B19" s="1" t="s">
        <v>32</v>
      </c>
      <c r="C19" s="12">
        <f>(I1+I2)/2</f>
        <v>65.5</v>
      </c>
      <c r="O19">
        <v>3</v>
      </c>
    </row>
    <row r="21" spans="1:15">
      <c r="B21" s="14" t="s">
        <v>14</v>
      </c>
      <c r="D21" s="16">
        <f>IF(AND(G$26=1,I21=J21),"Correct",IF(AND(G$26=1,NOT(I21=J21)),"Incorrect",0))</f>
        <v>0</v>
      </c>
      <c r="H21">
        <f>IF(I21=TRUE,1,0)</f>
        <v>0</v>
      </c>
      <c r="I21" s="14">
        <f>IF(C6&gt;$C$19,1,0)</f>
        <v>0</v>
      </c>
      <c r="J21" s="108">
        <v>0</v>
      </c>
    </row>
    <row r="22" spans="1:15">
      <c r="B22" s="14" t="s">
        <v>19</v>
      </c>
      <c r="D22" s="16">
        <f>IF(AND(G$26=1,I22=J22),"Correct",IF(AND(G$26=1,NOT(I22=J22)),"Incorrect",0))</f>
        <v>0</v>
      </c>
      <c r="H22">
        <f>IF(I22=TRUE,1,0)</f>
        <v>0</v>
      </c>
      <c r="I22" s="14">
        <f>IF(C7&gt;$C$19,1,0)</f>
        <v>0</v>
      </c>
      <c r="J22" s="108">
        <v>0</v>
      </c>
    </row>
    <row r="23" spans="1:15">
      <c r="B23" s="14" t="s">
        <v>20</v>
      </c>
      <c r="D23" s="16">
        <f>IF(AND(G$26=1,I23=J23),"Correct",IF(AND(G$26=1,NOT(I23=J23)),"Incorrect",0))</f>
        <v>0</v>
      </c>
      <c r="H23">
        <f>IF(I23=TRUE,1,0)</f>
        <v>0</v>
      </c>
      <c r="I23" s="14">
        <f>IF(C8&gt;$C$19,1,0)</f>
        <v>0</v>
      </c>
      <c r="J23" s="108">
        <v>0</v>
      </c>
    </row>
    <row r="24" spans="1:15">
      <c r="B24" s="14" t="s">
        <v>21</v>
      </c>
      <c r="D24" s="16">
        <f>IF(AND(G$26=1,I24=J24),"Correct",IF(AND(G$26=1,NOT(I24=J24)),"Incorrect",0))</f>
        <v>0</v>
      </c>
      <c r="H24">
        <f>IF(I24=TRUE,1,0)</f>
        <v>0</v>
      </c>
      <c r="I24" s="14">
        <f>IF(C9&gt;$C$19,1,0)</f>
        <v>1</v>
      </c>
      <c r="J24" s="108">
        <v>0</v>
      </c>
    </row>
    <row r="25" spans="1:15">
      <c r="B25" s="14" t="s">
        <v>23</v>
      </c>
      <c r="D25" s="16">
        <f>IF(AND(G$26=1,I25=J25),"Correct",IF(AND(G$26=1,NOT(I25=J25)),"Incorrect",0))</f>
        <v>0</v>
      </c>
      <c r="H25">
        <f>IF(I25=TRUE,1,0)</f>
        <v>0</v>
      </c>
      <c r="I25" s="14">
        <f>IF(C10&gt;$C$19,1,0)</f>
        <v>0</v>
      </c>
      <c r="J25" s="108">
        <v>0</v>
      </c>
    </row>
    <row r="26" spans="1:15">
      <c r="B26" s="14"/>
      <c r="G26">
        <v>0</v>
      </c>
      <c r="H26">
        <f>SUM(I21:I25)</f>
        <v>1</v>
      </c>
    </row>
    <row r="27" spans="1:15">
      <c r="H27" s="108">
        <v>1</v>
      </c>
      <c r="K27">
        <v>0</v>
      </c>
    </row>
    <row r="28" spans="1:15">
      <c r="K28">
        <v>1</v>
      </c>
    </row>
    <row r="29" spans="1:15">
      <c r="B29" t="s">
        <v>38</v>
      </c>
      <c r="D29" s="1"/>
      <c r="E29" s="17">
        <f>C19</f>
        <v>65.5</v>
      </c>
      <c r="F29" t="s">
        <v>37</v>
      </c>
      <c r="K29">
        <v>2</v>
      </c>
    </row>
    <row r="30" spans="1:15">
      <c r="B30" s="12">
        <f>E29</f>
        <v>65.5</v>
      </c>
      <c r="C30" t="s">
        <v>264</v>
      </c>
      <c r="D30" s="1"/>
      <c r="E30" s="17"/>
      <c r="K30">
        <v>3</v>
      </c>
    </row>
    <row r="31" spans="1:15">
      <c r="D31" s="1"/>
      <c r="E31" s="17"/>
      <c r="F31" s="16">
        <f>IF(H27=1,0,IF(H27=H26+2,"Correct","Incorrect"))</f>
        <v>0</v>
      </c>
      <c r="K31">
        <v>4</v>
      </c>
    </row>
    <row r="32" spans="1:15">
      <c r="K32">
        <v>5</v>
      </c>
    </row>
    <row r="33" spans="2:10">
      <c r="B33" s="200" t="s">
        <v>35</v>
      </c>
      <c r="C33" s="200"/>
      <c r="D33" s="200"/>
      <c r="E33" s="200"/>
      <c r="F33" s="200"/>
    </row>
    <row r="34" spans="2:10">
      <c r="B34" s="200"/>
      <c r="C34" s="200"/>
      <c r="D34" s="200"/>
      <c r="E34" s="200"/>
      <c r="F34" s="200"/>
    </row>
    <row r="35" spans="2:10">
      <c r="B35" s="1" t="s">
        <v>33</v>
      </c>
      <c r="C35" s="12">
        <f>(I1+I3)/2</f>
        <v>31.7</v>
      </c>
    </row>
    <row r="37" spans="2:10">
      <c r="B37" s="14" t="s">
        <v>14</v>
      </c>
      <c r="D37" s="16">
        <f>IF(AND(G$42=1,I37=J37),"Correct",IF(AND(G$42=1,NOT(I37=J37)),"Incorrect",0))</f>
        <v>0</v>
      </c>
      <c r="H37">
        <f>IF(I37=1,1,0)</f>
        <v>1</v>
      </c>
      <c r="I37" s="14">
        <f>IF(C6&gt;$C$35,1,0)</f>
        <v>1</v>
      </c>
      <c r="J37" s="108">
        <v>0</v>
      </c>
    </row>
    <row r="38" spans="2:10">
      <c r="B38" s="14" t="s">
        <v>19</v>
      </c>
      <c r="D38" s="16">
        <f t="shared" ref="D38:D41" si="0">IF(AND(G$42=1,I38=J38),"Correct",IF(AND(G$42=1,NOT(I38=J38)),"Incorrect",0))</f>
        <v>0</v>
      </c>
      <c r="H38">
        <f t="shared" ref="H38:H41" si="1">IF(I38=1,1,0)</f>
        <v>0</v>
      </c>
      <c r="I38" s="14">
        <f t="shared" ref="I38:I41" si="2">IF(C7&gt;$C$35,1,0)</f>
        <v>0</v>
      </c>
      <c r="J38" s="108">
        <v>0</v>
      </c>
    </row>
    <row r="39" spans="2:10">
      <c r="B39" s="14" t="s">
        <v>20</v>
      </c>
      <c r="D39" s="16">
        <f t="shared" si="0"/>
        <v>0</v>
      </c>
      <c r="H39">
        <f t="shared" si="1"/>
        <v>0</v>
      </c>
      <c r="I39" s="14">
        <f t="shared" si="2"/>
        <v>0</v>
      </c>
      <c r="J39" s="108">
        <v>0</v>
      </c>
    </row>
    <row r="40" spans="2:10">
      <c r="B40" s="14" t="s">
        <v>21</v>
      </c>
      <c r="D40" s="16">
        <f t="shared" si="0"/>
        <v>0</v>
      </c>
      <c r="H40">
        <f t="shared" si="1"/>
        <v>1</v>
      </c>
      <c r="I40" s="14">
        <f t="shared" si="2"/>
        <v>1</v>
      </c>
      <c r="J40" s="108">
        <v>0</v>
      </c>
    </row>
    <row r="41" spans="2:10">
      <c r="B41" s="14" t="s">
        <v>23</v>
      </c>
      <c r="D41" s="16">
        <f t="shared" si="0"/>
        <v>0</v>
      </c>
      <c r="H41">
        <f t="shared" si="1"/>
        <v>1</v>
      </c>
      <c r="I41" s="14">
        <f t="shared" si="2"/>
        <v>1</v>
      </c>
      <c r="J41" s="108">
        <v>0</v>
      </c>
    </row>
    <row r="42" spans="2:10">
      <c r="G42">
        <v>0</v>
      </c>
      <c r="H42">
        <f>SUM(H37:H41)</f>
        <v>3</v>
      </c>
    </row>
    <row r="43" spans="2:10">
      <c r="H43" s="108">
        <v>1</v>
      </c>
    </row>
    <row r="45" spans="2:10">
      <c r="B45" t="s">
        <v>38</v>
      </c>
      <c r="D45" s="1"/>
      <c r="E45" s="17">
        <f>C35</f>
        <v>31.7</v>
      </c>
      <c r="F45" t="s">
        <v>37</v>
      </c>
    </row>
    <row r="47" spans="2:10">
      <c r="F47" s="16">
        <f>IF(H43=1,0,IF(H43=H42+2,"Correct","Incorrect"))</f>
        <v>0</v>
      </c>
    </row>
    <row r="48" spans="2:10">
      <c r="I48" t="s">
        <v>41</v>
      </c>
    </row>
    <row r="49" spans="1:11">
      <c r="B49" t="s">
        <v>39</v>
      </c>
      <c r="H49">
        <v>4</v>
      </c>
      <c r="I49" t="s">
        <v>40</v>
      </c>
    </row>
    <row r="50" spans="1:11">
      <c r="H50" s="108">
        <v>1</v>
      </c>
      <c r="I50" t="s">
        <v>42</v>
      </c>
    </row>
    <row r="51" spans="1:11">
      <c r="F51" s="16">
        <f>IF(H50=1,0,IF(H50=H49,"Correct","Incorrect"))</f>
        <v>0</v>
      </c>
    </row>
    <row r="52" spans="1:11">
      <c r="F52" s="16"/>
    </row>
    <row r="53" spans="1:11">
      <c r="A53" s="15" t="s">
        <v>43</v>
      </c>
      <c r="B53" s="199" t="s">
        <v>46</v>
      </c>
      <c r="C53" s="199"/>
      <c r="D53" s="199"/>
      <c r="E53" s="199"/>
      <c r="F53" s="199"/>
    </row>
    <row r="54" spans="1:11">
      <c r="B54" s="199"/>
      <c r="C54" s="199"/>
      <c r="D54" s="199"/>
      <c r="E54" s="199"/>
      <c r="F54" s="199"/>
    </row>
    <row r="57" spans="1:11">
      <c r="H57" s="1" t="s">
        <v>44</v>
      </c>
    </row>
    <row r="58" spans="1:11">
      <c r="I58" s="12">
        <f>(90*J58+10*(100-J58))/100</f>
        <v>25.2</v>
      </c>
      <c r="J58">
        <v>19</v>
      </c>
    </row>
    <row r="60" spans="1:11">
      <c r="I60" s="12"/>
    </row>
    <row r="61" spans="1:11">
      <c r="H61">
        <v>0</v>
      </c>
      <c r="I61" s="12">
        <f>I2</f>
        <v>82.1</v>
      </c>
      <c r="J61" t="str">
        <f>IF(I61=C6,B6,IF(I61=C7,B7,IF(I61=C8,B8,IF(I61=C9,B9,B10))))</f>
        <v>Dieter</v>
      </c>
      <c r="K61" t="str">
        <f>CONCATENATE(J61,"'s Value")</f>
        <v>Dieter's Value</v>
      </c>
    </row>
    <row r="62" spans="1:11">
      <c r="H62">
        <v>1</v>
      </c>
      <c r="I62" s="12">
        <f>I61</f>
        <v>82.1</v>
      </c>
    </row>
    <row r="63" spans="1:11">
      <c r="H63">
        <v>1</v>
      </c>
      <c r="I63" s="18">
        <f>IF(I61=C6,MAX(C7:C10),IF(I61=C7,MAX(C6,C8,C9,C10),IF(I61=C8,MAX(C6,C7,C9,C10),IF(I61=C9,MAX(C6,C7,C8,C10),MAX(C6:C9)))))</f>
        <v>65.2</v>
      </c>
      <c r="J63" t="str">
        <f>IF(I63=C6,B6,IF(I63=C7,B7,IF(I63=C8,B8,IF(I63=C9,B9,B10))))</f>
        <v>Estelle</v>
      </c>
      <c r="K63" s="20" t="str">
        <f>CONCATENATE(J63,"'s Value")</f>
        <v>Estelle's Value</v>
      </c>
    </row>
    <row r="64" spans="1:11">
      <c r="H64">
        <v>2</v>
      </c>
      <c r="I64" s="12">
        <f>I63</f>
        <v>65.2</v>
      </c>
    </row>
    <row r="65" spans="2:11">
      <c r="H65">
        <v>2</v>
      </c>
      <c r="I65" s="12">
        <f>I1</f>
        <v>48.9</v>
      </c>
      <c r="J65" t="str">
        <f>IF(I65=C6,B6,IF(I65=C7,B7,IF(I65=C8,B8,IF(I65=C9,B9,B10))))</f>
        <v>Abby</v>
      </c>
      <c r="K65" t="str">
        <f>CONCATENATE(J65,"'s Value")</f>
        <v>Abby's Value</v>
      </c>
    </row>
    <row r="66" spans="2:11">
      <c r="H66">
        <v>3</v>
      </c>
      <c r="I66" s="12">
        <f>I65</f>
        <v>48.9</v>
      </c>
    </row>
    <row r="67" spans="2:11">
      <c r="H67">
        <v>3</v>
      </c>
      <c r="I67" s="12">
        <f>IF(I69=C6,MIN(C7:C10),IF(I69=C7,MIN(C6,C8,C9,C10),IF(I69=C8,MIN(C6,C7,C9,C10),IF(I69=C9,MIN(C6,C7,C8,C10),MIN(C6:C9)))))</f>
        <v>31</v>
      </c>
      <c r="J67" t="str">
        <f>IF(I67=C6,B6,IF(I67=C7,B7,IF(I67=C8,B8,IF(I67=C9,B9,B10))))</f>
        <v>Bailey</v>
      </c>
      <c r="K67" t="str">
        <f>CONCATENATE(J67,"'s Value")</f>
        <v>Bailey's Value</v>
      </c>
    </row>
    <row r="68" spans="2:11">
      <c r="H68">
        <v>4</v>
      </c>
      <c r="I68" s="12">
        <f>I67</f>
        <v>31</v>
      </c>
    </row>
    <row r="69" spans="2:11">
      <c r="H69">
        <v>4</v>
      </c>
      <c r="I69" s="12">
        <f>I3</f>
        <v>14.5</v>
      </c>
      <c r="J69" t="str">
        <f>IF(I69=C6,B6,IF(I69=C7,B7,IF(I69=C8,B8,IF(I69=C9,B9,B10))))</f>
        <v>Charlene</v>
      </c>
      <c r="K69" t="str">
        <f>CONCATENATE(J69,"'s Value")</f>
        <v>Charlene's Value</v>
      </c>
    </row>
    <row r="70" spans="2:11">
      <c r="H70">
        <v>5</v>
      </c>
      <c r="I70" s="12">
        <f>I69</f>
        <v>14.5</v>
      </c>
    </row>
    <row r="71" spans="2:11">
      <c r="H71">
        <v>5</v>
      </c>
      <c r="I71" s="12">
        <v>0</v>
      </c>
    </row>
    <row r="72" spans="2:11">
      <c r="B72" t="s">
        <v>53</v>
      </c>
    </row>
    <row r="73" spans="2:11">
      <c r="B73" t="s">
        <v>47</v>
      </c>
      <c r="H73">
        <v>0</v>
      </c>
      <c r="I73" s="12">
        <f>I58</f>
        <v>25.2</v>
      </c>
    </row>
    <row r="74" spans="2:11">
      <c r="H74">
        <v>6</v>
      </c>
      <c r="I74" s="12">
        <f>I58</f>
        <v>25.2</v>
      </c>
    </row>
    <row r="75" spans="2:11">
      <c r="B75" t="s">
        <v>48</v>
      </c>
      <c r="D75" s="1" t="str">
        <f>K65</f>
        <v>Abby's Value</v>
      </c>
      <c r="F75" t="s">
        <v>49</v>
      </c>
      <c r="G75">
        <v>4</v>
      </c>
    </row>
    <row r="76" spans="2:11">
      <c r="B76" s="1" t="str">
        <f>CONCATENATE(K63,".")</f>
        <v>Estelle's Value.</v>
      </c>
      <c r="C76" t="s">
        <v>50</v>
      </c>
      <c r="F76" s="22">
        <f>IF(G75=G76,"Correct",IF(AND(G76&gt;1,NOT(G76=G75)),"Incorrect",0))</f>
        <v>0</v>
      </c>
      <c r="G76" s="108">
        <v>1</v>
      </c>
    </row>
    <row r="79" spans="2:11">
      <c r="B79" t="s">
        <v>48</v>
      </c>
      <c r="D79" s="1" t="str">
        <f>CONCATENATE(K61,".")</f>
        <v>Dieter's Value.</v>
      </c>
      <c r="F79" t="s">
        <v>51</v>
      </c>
      <c r="G79">
        <v>2</v>
      </c>
    </row>
    <row r="80" spans="2:11">
      <c r="B80" t="s">
        <v>52</v>
      </c>
      <c r="C80" s="21">
        <f>IF(G79=G80,"Correct",IF(AND(G80&gt;1,NOT(G80=G79)),"Incorrect",0))</f>
        <v>0</v>
      </c>
      <c r="G80" s="108">
        <v>1</v>
      </c>
    </row>
    <row r="83" spans="2:9">
      <c r="B83" t="s">
        <v>54</v>
      </c>
      <c r="D83" s="1" t="str">
        <f>CONCATENATE(K69,".")</f>
        <v>Charlene's Value.</v>
      </c>
      <c r="F83" t="s">
        <v>55</v>
      </c>
      <c r="G83">
        <v>7</v>
      </c>
    </row>
    <row r="84" spans="2:9">
      <c r="B84" t="s">
        <v>56</v>
      </c>
      <c r="C84" s="21">
        <f>IF(G83=G84,"Correct",IF(AND(G84&gt;1,NOT(G84=G83)),"Incorrect",0))</f>
        <v>0</v>
      </c>
      <c r="G84" s="109">
        <v>1</v>
      </c>
    </row>
    <row r="87" spans="2:9">
      <c r="B87" s="199" t="s">
        <v>57</v>
      </c>
      <c r="C87" s="199"/>
      <c r="D87" s="199"/>
      <c r="E87" s="199"/>
      <c r="F87" s="199"/>
      <c r="G87">
        <v>2</v>
      </c>
    </row>
    <row r="88" spans="2:9">
      <c r="B88" s="199"/>
      <c r="C88" s="199"/>
      <c r="D88" s="199"/>
      <c r="E88" s="199"/>
      <c r="F88" s="199"/>
      <c r="G88" s="108">
        <v>1</v>
      </c>
      <c r="I88" t="s">
        <v>58</v>
      </c>
    </row>
    <row r="89" spans="2:9">
      <c r="I89" t="s">
        <v>59</v>
      </c>
    </row>
    <row r="90" spans="2:9">
      <c r="F90" s="22">
        <f>IF(G87=G88,"Correct",IF(AND(G88&gt;1,NOT(G88=G87)),"Incorrect",0))</f>
        <v>0</v>
      </c>
    </row>
  </sheetData>
  <mergeCells count="5">
    <mergeCell ref="B87:F88"/>
    <mergeCell ref="B1:G3"/>
    <mergeCell ref="B17:F18"/>
    <mergeCell ref="B33:F34"/>
    <mergeCell ref="B53:F54"/>
  </mergeCells>
  <phoneticPr fontId="8" type="noConversion"/>
  <conditionalFormatting sqref="F31 F47 F51:F52 F76 C80 C84 F90 D21:D25 D37:D41">
    <cfRule type="cellIs" dxfId="48" priority="2" stopIfTrue="1" operator="equal">
      <formula>"Correct"</formula>
    </cfRule>
    <cfRule type="cellIs" dxfId="47" priority="3" stopIfTrue="1" operator="equal">
      <formula>"Incorrect"</formula>
    </cfRule>
  </conditionalFormatting>
  <conditionalFormatting sqref="C14">
    <cfRule type="cellIs" dxfId="46" priority="1" operator="equal">
      <formula>0</formula>
    </cfRule>
  </conditionalFormatting>
  <hyperlinks>
    <hyperlink ref="I6" location="'Constructing Demand'!A65" display="Go To Graph"/>
  </hyperlinks>
  <pageMargins left="0.75" right="0.75" top="1" bottom="1" header="0.5" footer="0.5"/>
  <pageSetup orientation="portrait" horizontalDpi="200" verticalDpi="2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4055" r:id="rId3" name="Drop Down 23">
              <controlPr defaultSize="0" autoLine="0" autoPict="0">
                <anchor moveWithCells="1">
                  <from>
                    <xdr:col>5</xdr:col>
                    <xdr:colOff>152400</xdr:colOff>
                    <xdr:row>28</xdr:row>
                    <xdr:rowOff>0</xdr:rowOff>
                  </from>
                  <to>
                    <xdr:col>5</xdr:col>
                    <xdr:colOff>469900</xdr:colOff>
                    <xdr:row>29</xdr:row>
                    <xdr:rowOff>25400</xdr:rowOff>
                  </to>
                </anchor>
              </controlPr>
            </control>
          </mc:Choice>
          <mc:Fallback/>
        </mc:AlternateContent>
        <mc:AlternateContent xmlns:mc="http://schemas.openxmlformats.org/markup-compatibility/2006">
          <mc:Choice Requires="x14">
            <control shapeId="44056" r:id="rId4" name="Drop Down 24">
              <controlPr defaultSize="0" autoLine="0" autoPict="0">
                <anchor moveWithCells="1">
                  <from>
                    <xdr:col>5</xdr:col>
                    <xdr:colOff>177800</xdr:colOff>
                    <xdr:row>43</xdr:row>
                    <xdr:rowOff>101600</xdr:rowOff>
                  </from>
                  <to>
                    <xdr:col>5</xdr:col>
                    <xdr:colOff>482600</xdr:colOff>
                    <xdr:row>45</xdr:row>
                    <xdr:rowOff>25400</xdr:rowOff>
                  </to>
                </anchor>
              </controlPr>
            </control>
          </mc:Choice>
          <mc:Fallback/>
        </mc:AlternateContent>
        <mc:AlternateContent xmlns:mc="http://schemas.openxmlformats.org/markup-compatibility/2006">
          <mc:Choice Requires="x14">
            <control shapeId="44058" r:id="rId5" name="Drop Down 26">
              <controlPr defaultSize="0" autoLine="0" autoPict="0">
                <anchor moveWithCells="1">
                  <from>
                    <xdr:col>5</xdr:col>
                    <xdr:colOff>0</xdr:colOff>
                    <xdr:row>48</xdr:row>
                    <xdr:rowOff>12700</xdr:rowOff>
                  </from>
                  <to>
                    <xdr:col>6</xdr:col>
                    <xdr:colOff>292100</xdr:colOff>
                    <xdr:row>49</xdr:row>
                    <xdr:rowOff>38100</xdr:rowOff>
                  </to>
                </anchor>
              </controlPr>
            </control>
          </mc:Choice>
          <mc:Fallback/>
        </mc:AlternateContent>
        <mc:AlternateContent xmlns:mc="http://schemas.openxmlformats.org/markup-compatibility/2006">
          <mc:Choice Requires="x14">
            <control shapeId="44063" r:id="rId6" name="Drop Down 31">
              <controlPr defaultSize="0" autoLine="0" autoPict="0">
                <anchor moveWithCells="1">
                  <from>
                    <xdr:col>4</xdr:col>
                    <xdr:colOff>88900</xdr:colOff>
                    <xdr:row>75</xdr:row>
                    <xdr:rowOff>0</xdr:rowOff>
                  </from>
                  <to>
                    <xdr:col>5</xdr:col>
                    <xdr:colOff>12700</xdr:colOff>
                    <xdr:row>76</xdr:row>
                    <xdr:rowOff>25400</xdr:rowOff>
                  </to>
                </anchor>
              </controlPr>
            </control>
          </mc:Choice>
          <mc:Fallback/>
        </mc:AlternateContent>
        <mc:AlternateContent xmlns:mc="http://schemas.openxmlformats.org/markup-compatibility/2006">
          <mc:Choice Requires="x14">
            <control shapeId="44064" r:id="rId7" name="Drop Down 32">
              <controlPr defaultSize="0" autoLine="0" autoPict="0">
                <anchor moveWithCells="1">
                  <from>
                    <xdr:col>1</xdr:col>
                    <xdr:colOff>190500</xdr:colOff>
                    <xdr:row>79</xdr:row>
                    <xdr:rowOff>12700</xdr:rowOff>
                  </from>
                  <to>
                    <xdr:col>1</xdr:col>
                    <xdr:colOff>508000</xdr:colOff>
                    <xdr:row>80</xdr:row>
                    <xdr:rowOff>38100</xdr:rowOff>
                  </to>
                </anchor>
              </controlPr>
            </control>
          </mc:Choice>
          <mc:Fallback/>
        </mc:AlternateContent>
        <mc:AlternateContent xmlns:mc="http://schemas.openxmlformats.org/markup-compatibility/2006">
          <mc:Choice Requires="x14">
            <control shapeId="44065" r:id="rId8" name="Drop Down 33">
              <controlPr defaultSize="0" autoLine="0" autoPict="0">
                <anchor moveWithCells="1">
                  <from>
                    <xdr:col>1</xdr:col>
                    <xdr:colOff>177800</xdr:colOff>
                    <xdr:row>83</xdr:row>
                    <xdr:rowOff>12700</xdr:rowOff>
                  </from>
                  <to>
                    <xdr:col>1</xdr:col>
                    <xdr:colOff>508000</xdr:colOff>
                    <xdr:row>84</xdr:row>
                    <xdr:rowOff>38100</xdr:rowOff>
                  </to>
                </anchor>
              </controlPr>
            </control>
          </mc:Choice>
          <mc:Fallback/>
        </mc:AlternateContent>
        <mc:AlternateContent xmlns:mc="http://schemas.openxmlformats.org/markup-compatibility/2006">
          <mc:Choice Requires="x14">
            <control shapeId="44066" r:id="rId9" name="Drop Down 34">
              <controlPr defaultSize="0" autoLine="0" autoPict="0">
                <anchor moveWithCells="1">
                  <from>
                    <xdr:col>2</xdr:col>
                    <xdr:colOff>558800</xdr:colOff>
                    <xdr:row>88</xdr:row>
                    <xdr:rowOff>38100</xdr:rowOff>
                  </from>
                  <to>
                    <xdr:col>5</xdr:col>
                    <xdr:colOff>228600</xdr:colOff>
                    <xdr:row>89</xdr:row>
                    <xdr:rowOff>63500</xdr:rowOff>
                  </to>
                </anchor>
              </controlPr>
            </control>
          </mc:Choice>
          <mc:Fallback/>
        </mc:AlternateContent>
        <mc:AlternateContent xmlns:mc="http://schemas.openxmlformats.org/markup-compatibility/2006">
          <mc:Choice Requires="x14">
            <control shapeId="44067" r:id="rId10" name="Drop Down 35">
              <controlPr defaultSize="0" autoLine="0" autoPict="0">
                <anchor moveWithCells="1">
                  <from>
                    <xdr:col>10</xdr:col>
                    <xdr:colOff>596900</xdr:colOff>
                    <xdr:row>13</xdr:row>
                    <xdr:rowOff>101600</xdr:rowOff>
                  </from>
                  <to>
                    <xdr:col>12</xdr:col>
                    <xdr:colOff>520700</xdr:colOff>
                    <xdr:row>14</xdr:row>
                    <xdr:rowOff>127000</xdr:rowOff>
                  </to>
                </anchor>
              </controlPr>
            </control>
          </mc:Choice>
          <mc:Fallback/>
        </mc:AlternateContent>
        <mc:AlternateContent xmlns:mc="http://schemas.openxmlformats.org/markup-compatibility/2006">
          <mc:Choice Requires="x14">
            <control shapeId="44068" r:id="rId11" name="Spinner 36">
              <controlPr defaultSize="0" autoPict="0">
                <anchor moveWithCells="1" sizeWithCells="1">
                  <from>
                    <xdr:col>2</xdr:col>
                    <xdr:colOff>50800</xdr:colOff>
                    <xdr:row>12</xdr:row>
                    <xdr:rowOff>0</xdr:rowOff>
                  </from>
                  <to>
                    <xdr:col>2</xdr:col>
                    <xdr:colOff>228600</xdr:colOff>
                    <xdr:row>12</xdr:row>
                    <xdr:rowOff>177800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enableFormatConditionsCalculation="0">
    <tabColor theme="3" tint="0.59999389629810485"/>
  </sheetPr>
  <dimension ref="A1:T993"/>
  <sheetViews>
    <sheetView workbookViewId="0">
      <pane ySplit="4540" topLeftCell="A16" activePane="bottomLeft"/>
      <selection activeCell="A70" sqref="A70"/>
      <selection pane="bottomLeft" activeCell="A70" sqref="A70"/>
    </sheetView>
  </sheetViews>
  <sheetFormatPr baseColWidth="10" defaultColWidth="8.83203125" defaultRowHeight="13" x14ac:dyDescent="0"/>
  <cols>
    <col min="2" max="2" width="8.83203125" style="144"/>
    <col min="3" max="13" width="8.83203125" style="136"/>
    <col min="14" max="14" width="8.83203125" style="47"/>
    <col min="15" max="15" width="8.83203125" style="131"/>
    <col min="16" max="20" width="8.83203125" style="134"/>
  </cols>
  <sheetData>
    <row r="1" spans="1:15" ht="13.5" customHeight="1">
      <c r="A1" s="133"/>
      <c r="B1" s="201" t="s">
        <v>64</v>
      </c>
      <c r="C1" s="202"/>
      <c r="D1" s="202"/>
      <c r="E1" s="202"/>
      <c r="F1" s="202"/>
      <c r="G1" s="202"/>
      <c r="H1" s="202"/>
      <c r="I1" s="202"/>
      <c r="J1" s="202"/>
      <c r="K1" s="202"/>
      <c r="L1" s="202"/>
      <c r="M1" s="135"/>
      <c r="N1" s="131"/>
      <c r="O1" s="134"/>
    </row>
    <row r="2" spans="1:15" ht="12">
      <c r="A2" s="133"/>
      <c r="B2" s="202"/>
      <c r="C2" s="202"/>
      <c r="D2" s="202"/>
      <c r="E2" s="202"/>
      <c r="F2" s="202"/>
      <c r="G2" s="202"/>
      <c r="H2" s="202"/>
      <c r="I2" s="202"/>
      <c r="J2" s="202"/>
      <c r="K2" s="202"/>
      <c r="L2" s="202"/>
      <c r="M2" s="135"/>
      <c r="N2" s="131"/>
      <c r="O2" s="134"/>
    </row>
    <row r="3" spans="1:15" ht="12">
      <c r="A3" s="133"/>
      <c r="B3" s="202"/>
      <c r="C3" s="202"/>
      <c r="D3" s="202"/>
      <c r="E3" s="202"/>
      <c r="F3" s="202"/>
      <c r="G3" s="202"/>
      <c r="H3" s="202"/>
      <c r="I3" s="202"/>
      <c r="J3" s="202"/>
      <c r="K3" s="202"/>
      <c r="L3" s="202"/>
      <c r="M3" s="135"/>
      <c r="N3" s="131"/>
      <c r="O3" s="134"/>
    </row>
    <row r="4" spans="1:15">
      <c r="A4" s="130"/>
      <c r="B4" s="136"/>
      <c r="G4" s="137" t="s">
        <v>317</v>
      </c>
      <c r="H4" s="138"/>
      <c r="N4" s="131"/>
      <c r="O4" s="134"/>
    </row>
    <row r="5" spans="1:15">
      <c r="A5" s="130"/>
      <c r="B5" s="137" t="s">
        <v>263</v>
      </c>
      <c r="D5" s="139" t="s">
        <v>60</v>
      </c>
      <c r="N5" s="131"/>
      <c r="O5" s="134"/>
    </row>
    <row r="6" spans="1:15">
      <c r="A6" s="130"/>
      <c r="B6" s="136" t="s">
        <v>14</v>
      </c>
      <c r="D6" s="140">
        <f>ConstructingDemandSols!C6</f>
        <v>48.9</v>
      </c>
      <c r="F6" s="136" t="s">
        <v>193</v>
      </c>
      <c r="N6" s="131"/>
      <c r="O6" s="134"/>
    </row>
    <row r="7" spans="1:15">
      <c r="A7" s="130"/>
      <c r="B7" s="136" t="s">
        <v>19</v>
      </c>
      <c r="D7" s="140">
        <f>ConstructingDemandSols!C7</f>
        <v>31</v>
      </c>
      <c r="F7" s="136" t="s">
        <v>194</v>
      </c>
      <c r="N7" s="131"/>
      <c r="O7" s="134"/>
    </row>
    <row r="8" spans="1:15">
      <c r="A8" s="130"/>
      <c r="B8" s="136" t="s">
        <v>20</v>
      </c>
      <c r="D8" s="140">
        <f>ConstructingDemandSols!C8</f>
        <v>14.5</v>
      </c>
      <c r="E8" s="179"/>
      <c r="F8" s="176" t="s">
        <v>45</v>
      </c>
      <c r="N8" s="131"/>
      <c r="O8" s="134"/>
    </row>
    <row r="9" spans="1:15">
      <c r="A9" s="130"/>
      <c r="B9" s="136" t="s">
        <v>21</v>
      </c>
      <c r="D9" s="140">
        <f>ConstructingDemandSols!C9</f>
        <v>82.1</v>
      </c>
      <c r="N9" s="131"/>
      <c r="O9" s="134"/>
    </row>
    <row r="10" spans="1:15">
      <c r="A10" s="130"/>
      <c r="B10" s="136" t="s">
        <v>23</v>
      </c>
      <c r="D10" s="140">
        <f>ConstructingDemandSols!C10</f>
        <v>65.2</v>
      </c>
      <c r="N10" s="131"/>
      <c r="O10" s="134"/>
    </row>
    <row r="11" spans="1:15">
      <c r="A11" s="130"/>
      <c r="B11" s="136"/>
      <c r="N11" s="131"/>
      <c r="O11" s="134"/>
    </row>
    <row r="12" spans="1:15">
      <c r="A12" s="130"/>
      <c r="B12" s="136"/>
      <c r="N12" s="131"/>
      <c r="O12" s="134"/>
    </row>
    <row r="13" spans="1:15">
      <c r="A13" s="130"/>
      <c r="B13" s="136"/>
      <c r="N13" s="131"/>
      <c r="O13" s="134"/>
    </row>
    <row r="14" spans="1:15">
      <c r="A14" s="130"/>
      <c r="B14" s="136"/>
      <c r="N14" s="131"/>
      <c r="O14" s="134"/>
    </row>
    <row r="15" spans="1:15">
      <c r="A15" s="130"/>
      <c r="B15" s="136"/>
      <c r="N15" s="131"/>
      <c r="O15" s="134"/>
    </row>
    <row r="16" spans="1:15">
      <c r="A16" s="130"/>
      <c r="B16" s="136"/>
      <c r="N16" s="131"/>
      <c r="O16" s="134"/>
    </row>
    <row r="17" spans="1:15">
      <c r="A17" s="132" t="s">
        <v>31</v>
      </c>
      <c r="B17" s="136" t="s">
        <v>318</v>
      </c>
      <c r="N17" s="131"/>
      <c r="O17" s="134"/>
    </row>
    <row r="18" spans="1:15">
      <c r="A18" s="130"/>
      <c r="B18" s="136" t="s">
        <v>319</v>
      </c>
      <c r="N18" s="131"/>
      <c r="O18" s="134"/>
    </row>
    <row r="19" spans="1:15">
      <c r="A19" s="130"/>
      <c r="B19" s="136"/>
      <c r="C19" s="136" t="s">
        <v>320</v>
      </c>
      <c r="E19" s="140">
        <f>ConstructingDemandSols!C19</f>
        <v>65.5</v>
      </c>
      <c r="N19" s="131"/>
      <c r="O19" s="134"/>
    </row>
    <row r="20" spans="1:15">
      <c r="A20" s="130"/>
      <c r="B20" s="136"/>
      <c r="N20" s="131"/>
      <c r="O20" s="134"/>
    </row>
    <row r="21" spans="1:15" ht="18" customHeight="1">
      <c r="A21" s="130"/>
      <c r="B21" s="136" t="s">
        <v>14</v>
      </c>
      <c r="D21" s="136">
        <f>IF(ConstructingDemandSols!J21=1,"X",0)</f>
        <v>0</v>
      </c>
      <c r="E21" s="136">
        <f>ConstructingDemandSols!D21</f>
        <v>0</v>
      </c>
      <c r="N21" s="131"/>
      <c r="O21" s="134"/>
    </row>
    <row r="22" spans="1:15" ht="18" customHeight="1">
      <c r="A22" s="130"/>
      <c r="B22" s="136" t="s">
        <v>19</v>
      </c>
      <c r="D22" s="136">
        <f>IF(ConstructingDemandSols!J22=1,"X",0)</f>
        <v>0</v>
      </c>
      <c r="E22" s="136">
        <f>ConstructingDemandSols!D22</f>
        <v>0</v>
      </c>
      <c r="N22" s="131"/>
      <c r="O22" s="134"/>
    </row>
    <row r="23" spans="1:15" ht="18" customHeight="1">
      <c r="A23" s="130"/>
      <c r="B23" s="136" t="s">
        <v>20</v>
      </c>
      <c r="D23" s="136">
        <f>IF(ConstructingDemandSols!J23=1,"X",0)</f>
        <v>0</v>
      </c>
      <c r="E23" s="136">
        <f>ConstructingDemandSols!D23</f>
        <v>0</v>
      </c>
      <c r="N23" s="131"/>
      <c r="O23" s="134"/>
    </row>
    <row r="24" spans="1:15" ht="18" customHeight="1">
      <c r="A24" s="130"/>
      <c r="B24" s="136" t="s">
        <v>21</v>
      </c>
      <c r="D24" s="136">
        <f>IF(ConstructingDemandSols!J24=1,"X",0)</f>
        <v>0</v>
      </c>
      <c r="E24" s="136">
        <f>ConstructingDemandSols!D24</f>
        <v>0</v>
      </c>
      <c r="N24" s="131"/>
      <c r="O24" s="134"/>
    </row>
    <row r="25" spans="1:15" ht="18" customHeight="1">
      <c r="A25" s="130"/>
      <c r="B25" s="136" t="s">
        <v>23</v>
      </c>
      <c r="D25" s="136">
        <f>IF(ConstructingDemandSols!J25=1,"X",0)</f>
        <v>0</v>
      </c>
      <c r="E25" s="136">
        <f>ConstructingDemandSols!D25</f>
        <v>0</v>
      </c>
      <c r="N25" s="131"/>
      <c r="O25" s="134"/>
    </row>
    <row r="26" spans="1:15" ht="18" customHeight="1">
      <c r="A26" s="130"/>
      <c r="B26" s="137" t="s">
        <v>321</v>
      </c>
      <c r="D26" s="136" t="str">
        <f>IF(ConstructingDemandSols!G26=1,"Yes","No")</f>
        <v>No</v>
      </c>
      <c r="N26" s="131"/>
      <c r="O26" s="134"/>
    </row>
    <row r="27" spans="1:15">
      <c r="A27" s="130"/>
      <c r="B27" s="136"/>
      <c r="N27" s="131"/>
      <c r="O27" s="134"/>
    </row>
    <row r="28" spans="1:15">
      <c r="A28" s="130"/>
      <c r="B28" s="136"/>
      <c r="N28" s="131"/>
      <c r="O28" s="134"/>
    </row>
    <row r="29" spans="1:15">
      <c r="A29" s="130"/>
      <c r="B29" s="136">
        <f>IF(AND(E21="Correct",E22="Correct",E23="Correct",E24="Correct",E25="Correct"),"The number of lessons demanded at price",0)</f>
        <v>0</v>
      </c>
      <c r="G29" s="140">
        <f>IF(AND(E21="Correct",E22="Correct",E23="Correct",E24="Correct",E25="Correct"),ConstructingDemandSols!E29,0)</f>
        <v>0</v>
      </c>
      <c r="H29" s="136">
        <f>IF(AND(E21="Correct",E22="Correct",E23="Correct",E24="Correct",E25="Correct")," is",0)</f>
        <v>0</v>
      </c>
      <c r="N29" s="131"/>
      <c r="O29" s="134"/>
    </row>
    <row r="30" spans="1:15">
      <c r="A30" s="130"/>
      <c r="B30" s="136"/>
      <c r="N30" s="131"/>
      <c r="O30" s="134"/>
    </row>
    <row r="31" spans="1:15">
      <c r="A31" s="130"/>
      <c r="B31" s="136"/>
      <c r="I31" s="136">
        <f>ConstructingDemandSols!F31</f>
        <v>0</v>
      </c>
      <c r="N31" s="131"/>
      <c r="O31" s="134"/>
    </row>
    <row r="32" spans="1:15">
      <c r="A32" s="130"/>
      <c r="B32" s="136"/>
      <c r="N32" s="131"/>
      <c r="O32" s="134"/>
    </row>
    <row r="33" spans="1:15">
      <c r="A33" s="130"/>
      <c r="B33" s="203">
        <f>IF(I31="Correct","Now suppose the price of a two hour lesson is as given below.  Which of the students are willing to purchase a lesson at this lower price?  Mark all that apply",0)</f>
        <v>0</v>
      </c>
      <c r="C33" s="204"/>
      <c r="D33" s="204"/>
      <c r="E33" s="204"/>
      <c r="F33" s="204"/>
      <c r="G33" s="204"/>
      <c r="H33" s="204"/>
      <c r="I33" s="204"/>
      <c r="J33" s="204"/>
      <c r="K33" s="204"/>
      <c r="N33" s="131"/>
      <c r="O33" s="134"/>
    </row>
    <row r="34" spans="1:15">
      <c r="A34" s="130"/>
      <c r="B34" s="205"/>
      <c r="C34" s="204"/>
      <c r="D34" s="204"/>
      <c r="E34" s="204"/>
      <c r="F34" s="204"/>
      <c r="G34" s="204"/>
      <c r="H34" s="204"/>
      <c r="I34" s="204"/>
      <c r="J34" s="204"/>
      <c r="K34" s="204"/>
      <c r="N34" s="131"/>
      <c r="O34" s="134"/>
    </row>
    <row r="35" spans="1:15">
      <c r="A35" s="130"/>
      <c r="B35" s="136"/>
      <c r="C35" s="142">
        <f>IF(I31="Correct","New price = ",0)</f>
        <v>0</v>
      </c>
      <c r="D35" s="140">
        <f>IF(I31="Correct",ConstructingDemandSols!C35,0)</f>
        <v>0</v>
      </c>
      <c r="N35" s="131"/>
      <c r="O35" s="134"/>
    </row>
    <row r="36" spans="1:15">
      <c r="A36" s="130"/>
      <c r="B36" s="136"/>
      <c r="N36" s="131"/>
      <c r="O36" s="134"/>
    </row>
    <row r="37" spans="1:15" ht="18" customHeight="1">
      <c r="A37" s="130"/>
      <c r="B37" s="136" t="s">
        <v>14</v>
      </c>
      <c r="D37" s="136">
        <f>IF(ConstructingDemandSols!J37=1,"X",0)</f>
        <v>0</v>
      </c>
      <c r="E37" s="136">
        <f>ConstructingDemandSols!D37</f>
        <v>0</v>
      </c>
      <c r="N37" s="131"/>
      <c r="O37" s="134"/>
    </row>
    <row r="38" spans="1:15" ht="18" customHeight="1">
      <c r="A38" s="130"/>
      <c r="B38" s="136" t="s">
        <v>19</v>
      </c>
      <c r="D38" s="136">
        <f>IF(ConstructingDemandSols!J38=1,"X",0)</f>
        <v>0</v>
      </c>
      <c r="E38" s="136">
        <f>ConstructingDemandSols!D38</f>
        <v>0</v>
      </c>
      <c r="N38" s="131"/>
      <c r="O38" s="134"/>
    </row>
    <row r="39" spans="1:15" ht="18" customHeight="1">
      <c r="A39" s="130"/>
      <c r="B39" s="136" t="s">
        <v>20</v>
      </c>
      <c r="D39" s="136">
        <f>IF(ConstructingDemandSols!J39=1,"X",0)</f>
        <v>0</v>
      </c>
      <c r="E39" s="136">
        <f>ConstructingDemandSols!D39</f>
        <v>0</v>
      </c>
      <c r="N39" s="131"/>
      <c r="O39" s="134"/>
    </row>
    <row r="40" spans="1:15" ht="18" customHeight="1">
      <c r="A40" s="130"/>
      <c r="B40" s="136" t="s">
        <v>21</v>
      </c>
      <c r="D40" s="136">
        <f>IF(ConstructingDemandSols!J40=1,"X",0)</f>
        <v>0</v>
      </c>
      <c r="E40" s="136">
        <f>ConstructingDemandSols!D40</f>
        <v>0</v>
      </c>
      <c r="N40" s="131"/>
      <c r="O40" s="134"/>
    </row>
    <row r="41" spans="1:15" ht="18" customHeight="1">
      <c r="A41" s="130"/>
      <c r="B41" s="136" t="s">
        <v>23</v>
      </c>
      <c r="D41" s="136">
        <f>IF(ConstructingDemandSols!J41=1,"X",0)</f>
        <v>0</v>
      </c>
      <c r="E41" s="136">
        <f>ConstructingDemandSols!D41</f>
        <v>0</v>
      </c>
      <c r="N41" s="131"/>
      <c r="O41" s="134"/>
    </row>
    <row r="42" spans="1:15" ht="18" customHeight="1">
      <c r="A42" s="130"/>
      <c r="B42" s="137" t="s">
        <v>321</v>
      </c>
      <c r="D42" s="136" t="str">
        <f>IF(ConstructingDemandSols!G42=1,"Yes","No")</f>
        <v>No</v>
      </c>
      <c r="N42" s="131"/>
      <c r="O42" s="134"/>
    </row>
    <row r="43" spans="1:15">
      <c r="A43" s="130"/>
      <c r="B43" s="136"/>
      <c r="N43" s="131"/>
      <c r="O43" s="134"/>
    </row>
    <row r="44" spans="1:15">
      <c r="A44" s="130"/>
      <c r="B44" s="136"/>
      <c r="N44" s="131"/>
      <c r="O44" s="134"/>
    </row>
    <row r="45" spans="1:15">
      <c r="A45" s="130"/>
      <c r="B45" s="136">
        <f>IF(AND(E37="Correct",E38="Correct",E39="Correct",E40="Correct",E41="Correct"),"The number of lessons demanded at price",0)</f>
        <v>0</v>
      </c>
      <c r="G45" s="140">
        <f>IF(AND(E37="Correct",E38="Correct",E39="Correct",E40="Correct",E41="Correct"),ConstructingDemandSols!E45,0)</f>
        <v>0</v>
      </c>
      <c r="H45" s="136">
        <f>IF(AND(E37="Correct",E38="Correct",E39="Correct",E40="Correct",E41="Correct")," is",0)</f>
        <v>0</v>
      </c>
      <c r="N45" s="131"/>
      <c r="O45" s="134"/>
    </row>
    <row r="46" spans="1:15">
      <c r="A46" s="130"/>
      <c r="B46" s="136"/>
      <c r="N46" s="131"/>
      <c r="O46" s="134"/>
    </row>
    <row r="47" spans="1:15">
      <c r="A47" s="130"/>
      <c r="B47" s="136"/>
      <c r="I47" s="136">
        <f>ConstructingDemandSols!F47</f>
        <v>0</v>
      </c>
      <c r="N47" s="131"/>
      <c r="O47" s="134"/>
    </row>
    <row r="48" spans="1:15">
      <c r="A48" s="130"/>
      <c r="B48" s="136"/>
      <c r="N48" s="131"/>
      <c r="O48" s="134"/>
    </row>
    <row r="49" spans="1:15">
      <c r="A49" s="130"/>
      <c r="B49" s="136">
        <f>IF(I47="Correct","From this example we can generalize that as the price falls",0)</f>
        <v>0</v>
      </c>
      <c r="N49" s="131"/>
      <c r="O49" s="134"/>
    </row>
    <row r="50" spans="1:15">
      <c r="A50" s="130"/>
      <c r="B50" s="136"/>
      <c r="N50" s="131"/>
      <c r="O50" s="134"/>
    </row>
    <row r="51" spans="1:15">
      <c r="A51" s="130"/>
      <c r="B51" s="136"/>
      <c r="I51" s="136">
        <f>ConstructingDemandSols!F51</f>
        <v>0</v>
      </c>
      <c r="N51" s="131"/>
      <c r="O51" s="134"/>
    </row>
    <row r="52" spans="1:15">
      <c r="A52" s="130"/>
      <c r="B52" s="136"/>
      <c r="N52" s="131"/>
      <c r="O52" s="134"/>
    </row>
    <row r="53" spans="1:15">
      <c r="A53" s="130"/>
      <c r="B53" s="203">
        <f>IF(I51="Correct","Below is a graph which plots the students' valuations in descending order.  The valuations are cumulated to show the aggregate demand at a given price.",0)</f>
        <v>0</v>
      </c>
      <c r="C53" s="204"/>
      <c r="D53" s="204"/>
      <c r="E53" s="204"/>
      <c r="F53" s="204"/>
      <c r="G53" s="204"/>
      <c r="H53" s="204"/>
      <c r="I53" s="204"/>
      <c r="J53" s="204"/>
      <c r="N53" s="131"/>
      <c r="O53" s="134"/>
    </row>
    <row r="54" spans="1:15">
      <c r="A54" s="130"/>
      <c r="B54" s="205"/>
      <c r="C54" s="204"/>
      <c r="D54" s="204"/>
      <c r="E54" s="204"/>
      <c r="F54" s="204"/>
      <c r="G54" s="204"/>
      <c r="H54" s="204"/>
      <c r="I54" s="204"/>
      <c r="J54" s="204"/>
      <c r="N54" s="131"/>
      <c r="O54" s="134"/>
    </row>
    <row r="55" spans="1:15">
      <c r="A55" s="130"/>
      <c r="B55" s="136"/>
      <c r="N55" s="131"/>
      <c r="O55" s="134"/>
    </row>
    <row r="56" spans="1:15">
      <c r="A56" s="130"/>
      <c r="B56" s="136"/>
      <c r="N56" s="131"/>
      <c r="O56" s="134"/>
    </row>
    <row r="57" spans="1:15">
      <c r="A57" s="130"/>
      <c r="B57" s="136"/>
      <c r="N57" s="131"/>
      <c r="O57" s="134"/>
    </row>
    <row r="58" spans="1:15">
      <c r="A58" s="130"/>
      <c r="B58" s="136"/>
      <c r="N58" s="131"/>
      <c r="O58" s="134"/>
    </row>
    <row r="59" spans="1:15">
      <c r="A59" s="130"/>
      <c r="B59" s="136"/>
      <c r="K59" s="137" t="s">
        <v>44</v>
      </c>
      <c r="N59" s="131"/>
      <c r="O59" s="134"/>
    </row>
    <row r="60" spans="1:15">
      <c r="A60" s="130"/>
      <c r="B60" s="136"/>
      <c r="L60" s="140">
        <f>ConstructingDemandSols!I$58</f>
        <v>25.2</v>
      </c>
      <c r="N60" s="131"/>
      <c r="O60" s="134"/>
    </row>
    <row r="61" spans="1:15">
      <c r="A61" s="130"/>
      <c r="B61" s="136"/>
      <c r="N61" s="131"/>
      <c r="O61" s="134"/>
    </row>
    <row r="62" spans="1:15">
      <c r="A62" s="130"/>
      <c r="B62" s="136"/>
      <c r="N62" s="131"/>
      <c r="O62" s="134"/>
    </row>
    <row r="63" spans="1:15">
      <c r="A63" s="130"/>
      <c r="B63" s="136"/>
      <c r="N63" s="131"/>
      <c r="O63" s="134"/>
    </row>
    <row r="64" spans="1:15">
      <c r="A64" s="130"/>
      <c r="B64" s="136"/>
      <c r="N64" s="131"/>
      <c r="O64" s="134"/>
    </row>
    <row r="65" spans="1:15">
      <c r="A65" s="130"/>
      <c r="B65" s="136"/>
      <c r="N65" s="131"/>
      <c r="O65" s="134"/>
    </row>
    <row r="66" spans="1:15">
      <c r="A66" s="130"/>
      <c r="B66" s="136"/>
      <c r="N66" s="131"/>
      <c r="O66" s="134"/>
    </row>
    <row r="67" spans="1:15">
      <c r="A67" s="130"/>
      <c r="B67" s="136"/>
      <c r="N67" s="131"/>
      <c r="O67" s="134"/>
    </row>
    <row r="68" spans="1:15">
      <c r="A68" s="130"/>
      <c r="B68" s="136"/>
      <c r="N68" s="131"/>
      <c r="O68" s="134"/>
    </row>
    <row r="69" spans="1:15">
      <c r="A69" s="130"/>
      <c r="B69" s="136"/>
      <c r="N69" s="131"/>
      <c r="O69" s="134"/>
    </row>
    <row r="70" spans="1:15">
      <c r="A70" s="178"/>
      <c r="B70" s="136"/>
      <c r="N70" s="131"/>
      <c r="O70" s="134"/>
    </row>
    <row r="71" spans="1:15">
      <c r="A71" s="130"/>
      <c r="B71" s="136"/>
      <c r="N71" s="131"/>
      <c r="O71" s="134"/>
    </row>
    <row r="72" spans="1:15">
      <c r="A72" s="132" t="s">
        <v>43</v>
      </c>
      <c r="B72" s="203">
        <f>IF(I51="Correct","To make the graph appear in the upper frame, click the link there.  Use the Select Price button to help visualize the answers to the following questions.",0)</f>
        <v>0</v>
      </c>
      <c r="C72" s="204"/>
      <c r="D72" s="204"/>
      <c r="E72" s="204"/>
      <c r="F72" s="204"/>
      <c r="G72" s="204"/>
      <c r="H72" s="204"/>
      <c r="I72" s="204"/>
      <c r="J72" s="204"/>
      <c r="K72" s="204"/>
      <c r="N72" s="131"/>
      <c r="O72" s="134"/>
    </row>
    <row r="73" spans="1:15">
      <c r="A73" s="130"/>
      <c r="B73" s="205"/>
      <c r="C73" s="204"/>
      <c r="D73" s="204"/>
      <c r="E73" s="204"/>
      <c r="F73" s="204"/>
      <c r="G73" s="204"/>
      <c r="H73" s="204"/>
      <c r="I73" s="204"/>
      <c r="J73" s="204"/>
      <c r="K73" s="204"/>
      <c r="N73" s="131"/>
      <c r="O73" s="134"/>
    </row>
    <row r="74" spans="1:15">
      <c r="A74" s="130"/>
      <c r="B74" s="136"/>
      <c r="N74" s="131"/>
      <c r="O74" s="134"/>
    </row>
    <row r="75" spans="1:15">
      <c r="A75" s="130"/>
      <c r="B75" s="136">
        <f>IF(B72=0,0,CONCATENATE("Suppose the price is greater than ",ConstructingDemandSols!D75," but is less than ",ConstructingDemandSols!B76))</f>
        <v>0</v>
      </c>
      <c r="N75" s="131"/>
      <c r="O75" s="134"/>
    </row>
    <row r="76" spans="1:15">
      <c r="A76" s="130"/>
      <c r="B76" s="136">
        <f>IF(B72=0,0,"Then the quantity demanded is")</f>
        <v>0</v>
      </c>
      <c r="N76" s="131"/>
      <c r="O76" s="134"/>
    </row>
    <row r="77" spans="1:15">
      <c r="A77" s="130"/>
      <c r="B77" s="136"/>
      <c r="H77" s="136">
        <f>ConstructingDemandSols!F76</f>
        <v>0</v>
      </c>
      <c r="N77" s="131"/>
      <c r="O77" s="134"/>
    </row>
    <row r="78" spans="1:15">
      <c r="A78" s="130"/>
      <c r="B78" s="136"/>
      <c r="N78" s="131"/>
      <c r="O78" s="134"/>
    </row>
    <row r="79" spans="1:15">
      <c r="A79" s="130"/>
      <c r="B79" s="136">
        <f>IF(H77="Correct",CONCATENATE("Suppose the price is greater than ",ConstructingDemandSols!D79,"  Then the quantity demanded"),0)</f>
        <v>0</v>
      </c>
      <c r="N79" s="131"/>
      <c r="O79" s="134"/>
    </row>
    <row r="80" spans="1:15">
      <c r="A80" s="130"/>
      <c r="B80" s="136">
        <f>IF(H76="Correct","is",0)</f>
        <v>0</v>
      </c>
      <c r="N80" s="131"/>
      <c r="O80" s="134"/>
    </row>
    <row r="81" spans="1:15">
      <c r="A81" s="130"/>
      <c r="B81" s="136"/>
      <c r="F81" s="136">
        <f>ConstructingDemandSols!C80</f>
        <v>0</v>
      </c>
      <c r="N81" s="131"/>
      <c r="O81" s="134"/>
    </row>
    <row r="82" spans="1:15">
      <c r="A82" s="130"/>
      <c r="B82" s="136"/>
      <c r="N82" s="131"/>
      <c r="O82" s="134"/>
    </row>
    <row r="83" spans="1:15">
      <c r="A83" s="130"/>
      <c r="B83" s="136">
        <f>IF(F81="Correct",CONCATENATE("Suppose the price is less than ",ConstructingDemandSols!D83,"  Then the quantity demanded"),0)</f>
        <v>0</v>
      </c>
      <c r="N83" s="131"/>
      <c r="O83" s="134"/>
    </row>
    <row r="84" spans="1:15">
      <c r="A84" s="130"/>
      <c r="B84" s="136">
        <f>IF(F80="Correct","is",0)</f>
        <v>0</v>
      </c>
      <c r="N84" s="131"/>
      <c r="O84" s="134"/>
    </row>
    <row r="85" spans="1:15">
      <c r="A85" s="130"/>
      <c r="B85" s="136"/>
      <c r="F85" s="136">
        <f>ConstructingDemandSols!C84</f>
        <v>0</v>
      </c>
      <c r="N85" s="131"/>
      <c r="O85" s="134"/>
    </row>
    <row r="86" spans="1:15">
      <c r="A86" s="130"/>
      <c r="B86" s="136"/>
      <c r="N86" s="131"/>
      <c r="O86" s="134"/>
    </row>
    <row r="87" spans="1:15">
      <c r="A87" s="130"/>
      <c r="B87" s="203">
        <f>IF(F85="Correct","The step function in the graph is termed the Demand Curve.  Based on the shape of the curve in the graph we conclude",0)</f>
        <v>0</v>
      </c>
      <c r="C87" s="204"/>
      <c r="D87" s="204"/>
      <c r="E87" s="204"/>
      <c r="F87" s="204"/>
      <c r="G87" s="204"/>
      <c r="H87" s="204"/>
      <c r="I87" s="204"/>
      <c r="J87" s="204"/>
      <c r="K87" s="204"/>
      <c r="N87" s="131"/>
      <c r="O87" s="134"/>
    </row>
    <row r="88" spans="1:15">
      <c r="A88" s="130"/>
      <c r="B88" s="205"/>
      <c r="C88" s="204"/>
      <c r="D88" s="204"/>
      <c r="E88" s="204"/>
      <c r="F88" s="204"/>
      <c r="G88" s="204"/>
      <c r="H88" s="204"/>
      <c r="I88" s="204"/>
      <c r="J88" s="204"/>
      <c r="K88" s="204"/>
      <c r="N88" s="131"/>
      <c r="O88" s="134"/>
    </row>
    <row r="89" spans="1:15">
      <c r="A89" s="130"/>
      <c r="B89" s="136"/>
      <c r="N89" s="131"/>
      <c r="O89" s="134"/>
    </row>
    <row r="90" spans="1:15">
      <c r="A90" s="130"/>
      <c r="B90" s="136"/>
      <c r="H90" s="136">
        <f>ConstructingDemandSols!F90</f>
        <v>0</v>
      </c>
      <c r="N90" s="131"/>
      <c r="O90" s="134"/>
    </row>
    <row r="91" spans="1:15" ht="16">
      <c r="A91" s="130"/>
      <c r="B91" s="136"/>
      <c r="F91" s="143"/>
      <c r="N91" s="131"/>
      <c r="O91" s="134"/>
    </row>
    <row r="92" spans="1:15" ht="16">
      <c r="A92" s="130"/>
      <c r="B92" s="136"/>
      <c r="F92" s="143">
        <f>IF(AND(I47="Correct",I51="Correct", H77="Correct",F81="Correct",F85="Correct",H90="Correct"),"Very Good! Go to the next sheet.",0)</f>
        <v>0</v>
      </c>
      <c r="N92" s="131"/>
      <c r="O92" s="134"/>
    </row>
    <row r="93" spans="1:15">
      <c r="A93" s="130"/>
      <c r="B93" s="136"/>
      <c r="N93" s="131"/>
      <c r="O93" s="134"/>
    </row>
    <row r="94" spans="1:15">
      <c r="A94" s="130"/>
      <c r="B94" s="136"/>
      <c r="N94" s="131"/>
      <c r="O94" s="134"/>
    </row>
    <row r="95" spans="1:15">
      <c r="A95" s="130"/>
      <c r="B95" s="136"/>
      <c r="N95" s="131"/>
      <c r="O95" s="134"/>
    </row>
    <row r="96" spans="1:15">
      <c r="A96" s="130"/>
      <c r="B96" s="136"/>
      <c r="N96" s="131"/>
      <c r="O96" s="134"/>
    </row>
    <row r="97" spans="1:15">
      <c r="A97" s="130"/>
      <c r="B97" s="136"/>
      <c r="N97" s="131"/>
      <c r="O97" s="134"/>
    </row>
    <row r="98" spans="1:15">
      <c r="A98" s="130"/>
      <c r="B98" s="136"/>
      <c r="N98" s="131"/>
      <c r="O98" s="134"/>
    </row>
    <row r="99" spans="1:15">
      <c r="A99" s="130"/>
      <c r="B99" s="136"/>
      <c r="N99" s="131"/>
      <c r="O99" s="134"/>
    </row>
    <row r="100" spans="1:15">
      <c r="A100" s="130"/>
      <c r="B100" s="136"/>
      <c r="N100" s="131"/>
      <c r="O100" s="134"/>
    </row>
    <row r="101" spans="1:15">
      <c r="A101" s="130"/>
      <c r="B101" s="136"/>
      <c r="N101" s="131"/>
      <c r="O101" s="134"/>
    </row>
    <row r="102" spans="1:15">
      <c r="A102" s="130"/>
      <c r="B102" s="136"/>
      <c r="N102" s="131"/>
      <c r="O102" s="134"/>
    </row>
    <row r="103" spans="1:15">
      <c r="A103" s="130"/>
      <c r="B103" s="136"/>
      <c r="N103" s="131"/>
      <c r="O103" s="134"/>
    </row>
    <row r="104" spans="1:15">
      <c r="A104" s="130"/>
      <c r="B104" s="136"/>
      <c r="N104" s="131"/>
      <c r="O104" s="134"/>
    </row>
    <row r="105" spans="1:15">
      <c r="A105" s="130"/>
      <c r="B105" s="136"/>
      <c r="N105" s="131"/>
      <c r="O105" s="134"/>
    </row>
    <row r="106" spans="1:15">
      <c r="A106" s="130"/>
      <c r="B106" s="136"/>
      <c r="N106" s="131"/>
      <c r="O106" s="134"/>
    </row>
    <row r="107" spans="1:15">
      <c r="A107" s="130"/>
      <c r="B107" s="136"/>
      <c r="N107" s="131"/>
      <c r="O107" s="134"/>
    </row>
    <row r="108" spans="1:15">
      <c r="A108" s="130"/>
      <c r="B108" s="136"/>
      <c r="N108" s="131"/>
      <c r="O108" s="134"/>
    </row>
    <row r="109" spans="1:15">
      <c r="A109" s="130"/>
      <c r="B109" s="136"/>
      <c r="N109" s="131"/>
      <c r="O109" s="134"/>
    </row>
    <row r="110" spans="1:15">
      <c r="A110" s="130"/>
      <c r="B110" s="136"/>
      <c r="N110" s="131"/>
      <c r="O110" s="134"/>
    </row>
    <row r="111" spans="1:15">
      <c r="A111" s="130"/>
      <c r="B111" s="136"/>
      <c r="N111" s="131"/>
      <c r="O111" s="134"/>
    </row>
    <row r="112" spans="1:15">
      <c r="A112" s="130"/>
      <c r="B112" s="136"/>
      <c r="N112" s="131"/>
      <c r="O112" s="134"/>
    </row>
    <row r="113" spans="1:15">
      <c r="A113" s="130"/>
      <c r="B113" s="136"/>
      <c r="N113" s="131"/>
      <c r="O113" s="134"/>
    </row>
    <row r="114" spans="1:15">
      <c r="A114" s="130"/>
      <c r="B114" s="136"/>
      <c r="N114" s="131"/>
      <c r="O114" s="134"/>
    </row>
    <row r="115" spans="1:15">
      <c r="A115" s="130"/>
      <c r="B115" s="136"/>
      <c r="N115" s="131"/>
      <c r="O115" s="134"/>
    </row>
    <row r="116" spans="1:15">
      <c r="A116" s="130"/>
      <c r="B116" s="136"/>
      <c r="N116" s="131"/>
      <c r="O116" s="134"/>
    </row>
    <row r="117" spans="1:15">
      <c r="A117" s="130"/>
      <c r="B117" s="136"/>
      <c r="N117" s="131"/>
      <c r="O117" s="134"/>
    </row>
    <row r="118" spans="1:15">
      <c r="A118" s="130"/>
      <c r="B118" s="136"/>
      <c r="N118" s="131"/>
      <c r="O118" s="134"/>
    </row>
    <row r="119" spans="1:15">
      <c r="A119" s="130"/>
      <c r="B119" s="136"/>
      <c r="N119" s="131"/>
      <c r="O119" s="134"/>
    </row>
    <row r="120" spans="1:15">
      <c r="A120" s="130"/>
      <c r="B120" s="136"/>
      <c r="N120" s="131"/>
      <c r="O120" s="134"/>
    </row>
    <row r="121" spans="1:15">
      <c r="A121" s="130"/>
      <c r="B121" s="136"/>
      <c r="N121" s="131"/>
      <c r="O121" s="134"/>
    </row>
    <row r="122" spans="1:15">
      <c r="A122" s="130"/>
      <c r="B122" s="136"/>
      <c r="N122" s="131"/>
      <c r="O122" s="134"/>
    </row>
    <row r="123" spans="1:15">
      <c r="A123" s="130"/>
      <c r="B123" s="136"/>
      <c r="N123" s="131"/>
      <c r="O123" s="134"/>
    </row>
    <row r="124" spans="1:15">
      <c r="A124" s="130"/>
      <c r="B124" s="136"/>
      <c r="N124" s="131"/>
      <c r="O124" s="134"/>
    </row>
    <row r="125" spans="1:15">
      <c r="A125" s="130"/>
      <c r="B125" s="136"/>
      <c r="N125" s="131"/>
      <c r="O125" s="134"/>
    </row>
    <row r="126" spans="1:15">
      <c r="A126" s="130"/>
      <c r="B126" s="136"/>
      <c r="N126" s="131"/>
      <c r="O126" s="134"/>
    </row>
    <row r="127" spans="1:15">
      <c r="A127" s="130"/>
      <c r="B127" s="136"/>
      <c r="N127" s="131"/>
      <c r="O127" s="134"/>
    </row>
    <row r="128" spans="1:15">
      <c r="A128" s="130"/>
      <c r="B128" s="136"/>
      <c r="N128" s="131"/>
      <c r="O128" s="134"/>
    </row>
    <row r="129" spans="1:15">
      <c r="A129" s="130"/>
      <c r="B129" s="136"/>
      <c r="N129" s="131"/>
      <c r="O129" s="134"/>
    </row>
    <row r="130" spans="1:15">
      <c r="A130" s="130"/>
      <c r="B130" s="136"/>
      <c r="N130" s="131"/>
      <c r="O130" s="134"/>
    </row>
    <row r="131" spans="1:15">
      <c r="A131" s="130"/>
      <c r="B131" s="136"/>
      <c r="N131" s="131"/>
      <c r="O131" s="134"/>
    </row>
    <row r="132" spans="1:15">
      <c r="A132" s="130"/>
      <c r="B132" s="136"/>
      <c r="N132" s="131"/>
      <c r="O132" s="134"/>
    </row>
    <row r="133" spans="1:15">
      <c r="A133" s="130"/>
      <c r="B133" s="136"/>
      <c r="N133" s="131"/>
      <c r="O133" s="134"/>
    </row>
    <row r="134" spans="1:15">
      <c r="A134" s="130"/>
      <c r="B134" s="136"/>
      <c r="N134" s="131"/>
      <c r="O134" s="134"/>
    </row>
    <row r="135" spans="1:15">
      <c r="A135" s="130"/>
      <c r="B135" s="136"/>
      <c r="N135" s="131"/>
      <c r="O135" s="134"/>
    </row>
    <row r="136" spans="1:15">
      <c r="A136" s="130"/>
      <c r="B136" s="136"/>
      <c r="N136" s="131"/>
      <c r="O136" s="134"/>
    </row>
    <row r="137" spans="1:15">
      <c r="A137" s="130"/>
      <c r="B137" s="136"/>
      <c r="N137" s="131"/>
      <c r="O137" s="134"/>
    </row>
    <row r="138" spans="1:15">
      <c r="A138" s="130"/>
      <c r="B138" s="136"/>
      <c r="N138" s="131"/>
      <c r="O138" s="134"/>
    </row>
    <row r="139" spans="1:15">
      <c r="A139" s="130"/>
      <c r="B139" s="136"/>
      <c r="N139" s="131"/>
      <c r="O139" s="134"/>
    </row>
    <row r="140" spans="1:15">
      <c r="A140" s="130"/>
      <c r="B140" s="136"/>
      <c r="N140" s="131"/>
      <c r="O140" s="134"/>
    </row>
    <row r="141" spans="1:15">
      <c r="A141" s="130"/>
      <c r="B141" s="136"/>
      <c r="N141" s="131"/>
      <c r="O141" s="134"/>
    </row>
    <row r="142" spans="1:15">
      <c r="A142" s="130"/>
      <c r="B142" s="136"/>
      <c r="N142" s="131"/>
      <c r="O142" s="134"/>
    </row>
    <row r="143" spans="1:15">
      <c r="A143" s="130"/>
      <c r="B143" s="136"/>
      <c r="N143" s="131"/>
      <c r="O143" s="134"/>
    </row>
    <row r="144" spans="1:15">
      <c r="A144" s="130"/>
      <c r="B144" s="136"/>
      <c r="N144" s="131"/>
      <c r="O144" s="134"/>
    </row>
    <row r="145" spans="1:15">
      <c r="A145" s="130"/>
      <c r="B145" s="136"/>
      <c r="N145" s="131"/>
      <c r="O145" s="134"/>
    </row>
    <row r="146" spans="1:15">
      <c r="A146" s="130"/>
      <c r="B146" s="136"/>
      <c r="N146" s="131"/>
      <c r="O146" s="134"/>
    </row>
    <row r="147" spans="1:15">
      <c r="A147" s="130"/>
      <c r="B147" s="136"/>
      <c r="N147" s="131"/>
      <c r="O147" s="134"/>
    </row>
    <row r="148" spans="1:15">
      <c r="A148" s="130"/>
      <c r="B148" s="136"/>
      <c r="N148" s="131"/>
      <c r="O148" s="134"/>
    </row>
    <row r="149" spans="1:15">
      <c r="A149" s="130"/>
      <c r="B149" s="136"/>
      <c r="N149" s="131"/>
      <c r="O149" s="134"/>
    </row>
    <row r="150" spans="1:15">
      <c r="A150" s="130"/>
      <c r="B150" s="136"/>
      <c r="N150" s="131"/>
      <c r="O150" s="134"/>
    </row>
    <row r="151" spans="1:15">
      <c r="A151" s="130"/>
      <c r="B151" s="136"/>
      <c r="N151" s="131"/>
      <c r="O151" s="134"/>
    </row>
    <row r="152" spans="1:15">
      <c r="A152" s="130"/>
      <c r="B152" s="136"/>
      <c r="N152" s="131"/>
      <c r="O152" s="134"/>
    </row>
    <row r="153" spans="1:15">
      <c r="A153" s="130"/>
      <c r="B153" s="136"/>
      <c r="N153" s="131"/>
      <c r="O153" s="134"/>
    </row>
    <row r="154" spans="1:15">
      <c r="A154" s="130"/>
      <c r="B154" s="136"/>
      <c r="N154" s="131"/>
      <c r="O154" s="134"/>
    </row>
    <row r="155" spans="1:15">
      <c r="A155" s="130"/>
      <c r="B155" s="136"/>
      <c r="N155" s="131"/>
      <c r="O155" s="134"/>
    </row>
    <row r="156" spans="1:15">
      <c r="A156" s="130"/>
      <c r="B156" s="136"/>
      <c r="N156" s="131"/>
      <c r="O156" s="134"/>
    </row>
    <row r="157" spans="1:15">
      <c r="A157" s="130"/>
      <c r="B157" s="136"/>
      <c r="N157" s="131"/>
      <c r="O157" s="134"/>
    </row>
    <row r="158" spans="1:15">
      <c r="A158" s="130"/>
      <c r="B158" s="136"/>
      <c r="N158" s="131"/>
      <c r="O158" s="134"/>
    </row>
    <row r="159" spans="1:15">
      <c r="A159" s="130"/>
      <c r="B159" s="136"/>
      <c r="N159" s="131"/>
      <c r="O159" s="134"/>
    </row>
    <row r="160" spans="1:15">
      <c r="A160" s="130"/>
      <c r="B160" s="136"/>
      <c r="N160" s="131"/>
      <c r="O160" s="134"/>
    </row>
    <row r="161" spans="1:15">
      <c r="A161" s="130"/>
      <c r="B161" s="136"/>
      <c r="N161" s="131"/>
      <c r="O161" s="134"/>
    </row>
    <row r="162" spans="1:15">
      <c r="A162" s="130"/>
      <c r="B162" s="136"/>
      <c r="N162" s="131"/>
      <c r="O162" s="134"/>
    </row>
    <row r="163" spans="1:15">
      <c r="A163" s="130"/>
      <c r="B163" s="136"/>
      <c r="N163" s="131"/>
      <c r="O163" s="134"/>
    </row>
    <row r="164" spans="1:15">
      <c r="A164" s="130"/>
      <c r="B164" s="136"/>
      <c r="N164" s="131"/>
      <c r="O164" s="134"/>
    </row>
    <row r="165" spans="1:15">
      <c r="A165" s="130"/>
      <c r="B165" s="136"/>
      <c r="N165" s="131"/>
      <c r="O165" s="134"/>
    </row>
    <row r="166" spans="1:15">
      <c r="A166" s="130"/>
      <c r="B166" s="136"/>
      <c r="N166" s="131"/>
      <c r="O166" s="134"/>
    </row>
    <row r="167" spans="1:15">
      <c r="A167" s="130"/>
      <c r="B167" s="136"/>
      <c r="N167" s="131"/>
      <c r="O167" s="134"/>
    </row>
    <row r="168" spans="1:15">
      <c r="A168" s="130"/>
      <c r="B168" s="136"/>
      <c r="N168" s="131"/>
      <c r="O168" s="134"/>
    </row>
    <row r="169" spans="1:15">
      <c r="A169" s="130"/>
      <c r="B169" s="136"/>
      <c r="N169" s="131"/>
      <c r="O169" s="134"/>
    </row>
    <row r="170" spans="1:15">
      <c r="A170" s="130"/>
      <c r="B170" s="136"/>
      <c r="N170" s="131"/>
      <c r="O170" s="134"/>
    </row>
    <row r="171" spans="1:15">
      <c r="A171" s="130"/>
      <c r="B171" s="136"/>
      <c r="N171" s="131"/>
      <c r="O171" s="134"/>
    </row>
    <row r="172" spans="1:15">
      <c r="A172" s="130"/>
      <c r="B172" s="136"/>
      <c r="N172" s="131"/>
      <c r="O172" s="134"/>
    </row>
    <row r="173" spans="1:15">
      <c r="A173" s="130"/>
      <c r="B173" s="136"/>
      <c r="N173" s="131"/>
      <c r="O173" s="134"/>
    </row>
    <row r="174" spans="1:15">
      <c r="A174" s="130"/>
      <c r="B174" s="136"/>
      <c r="N174" s="131"/>
      <c r="O174" s="134"/>
    </row>
    <row r="175" spans="1:15">
      <c r="A175" s="130"/>
      <c r="B175" s="136"/>
      <c r="N175" s="131"/>
      <c r="O175" s="134"/>
    </row>
    <row r="176" spans="1:15">
      <c r="A176" s="130"/>
      <c r="B176" s="136"/>
      <c r="N176" s="131"/>
      <c r="O176" s="134"/>
    </row>
    <row r="177" spans="1:15">
      <c r="A177" s="130"/>
      <c r="B177" s="136"/>
      <c r="N177" s="131"/>
      <c r="O177" s="134"/>
    </row>
    <row r="178" spans="1:15">
      <c r="A178" s="130"/>
      <c r="B178" s="136"/>
      <c r="N178" s="131"/>
      <c r="O178" s="134"/>
    </row>
    <row r="179" spans="1:15">
      <c r="A179" s="130"/>
      <c r="B179" s="136"/>
      <c r="N179" s="131"/>
      <c r="O179" s="134"/>
    </row>
    <row r="180" spans="1:15">
      <c r="A180" s="130"/>
      <c r="B180" s="136"/>
      <c r="N180" s="131"/>
      <c r="O180" s="134"/>
    </row>
    <row r="181" spans="1:15">
      <c r="A181" s="130"/>
      <c r="B181" s="136"/>
      <c r="N181" s="131"/>
      <c r="O181" s="134"/>
    </row>
    <row r="182" spans="1:15">
      <c r="A182" s="130"/>
      <c r="B182" s="136"/>
      <c r="N182" s="131"/>
      <c r="O182" s="134"/>
    </row>
    <row r="183" spans="1:15">
      <c r="A183" s="130"/>
      <c r="B183" s="136"/>
      <c r="N183" s="131"/>
      <c r="O183" s="134"/>
    </row>
    <row r="184" spans="1:15">
      <c r="A184" s="130"/>
      <c r="B184" s="136"/>
      <c r="N184" s="131"/>
      <c r="O184" s="134"/>
    </row>
    <row r="185" spans="1:15">
      <c r="A185" s="130"/>
      <c r="B185" s="136"/>
      <c r="N185" s="131"/>
      <c r="O185" s="134"/>
    </row>
    <row r="186" spans="1:15">
      <c r="A186" s="130"/>
      <c r="B186" s="136"/>
      <c r="N186" s="131"/>
      <c r="O186" s="134"/>
    </row>
    <row r="187" spans="1:15">
      <c r="A187" s="130"/>
      <c r="B187" s="136"/>
      <c r="N187" s="131"/>
      <c r="O187" s="134"/>
    </row>
    <row r="188" spans="1:15">
      <c r="A188" s="130"/>
      <c r="B188" s="136"/>
      <c r="N188" s="131"/>
      <c r="O188" s="134"/>
    </row>
    <row r="189" spans="1:15">
      <c r="A189" s="130"/>
      <c r="B189" s="136"/>
      <c r="N189" s="131"/>
      <c r="O189" s="134"/>
    </row>
    <row r="190" spans="1:15">
      <c r="A190" s="130"/>
      <c r="B190" s="136"/>
      <c r="N190" s="131"/>
      <c r="O190" s="134"/>
    </row>
    <row r="191" spans="1:15">
      <c r="A191" s="130"/>
      <c r="B191" s="136"/>
      <c r="N191" s="131"/>
      <c r="O191" s="134"/>
    </row>
    <row r="192" spans="1:15">
      <c r="A192" s="130"/>
      <c r="B192" s="136"/>
      <c r="N192" s="131"/>
      <c r="O192" s="134"/>
    </row>
    <row r="193" spans="1:15">
      <c r="A193" s="130"/>
      <c r="B193" s="136"/>
      <c r="N193" s="131"/>
      <c r="O193" s="134"/>
    </row>
    <row r="194" spans="1:15">
      <c r="A194" s="130"/>
      <c r="B194" s="136"/>
      <c r="N194" s="131"/>
      <c r="O194" s="134"/>
    </row>
    <row r="195" spans="1:15">
      <c r="A195" s="130"/>
      <c r="B195" s="136"/>
      <c r="N195" s="131"/>
      <c r="O195" s="134"/>
    </row>
    <row r="196" spans="1:15">
      <c r="A196" s="130"/>
      <c r="B196" s="136"/>
      <c r="N196" s="131"/>
      <c r="O196" s="134"/>
    </row>
    <row r="197" spans="1:15">
      <c r="A197" s="130"/>
      <c r="B197" s="136"/>
      <c r="N197" s="131"/>
      <c r="O197" s="134"/>
    </row>
    <row r="198" spans="1:15">
      <c r="A198" s="130"/>
      <c r="B198" s="136"/>
      <c r="N198" s="131"/>
      <c r="O198" s="134"/>
    </row>
    <row r="199" spans="1:15">
      <c r="A199" s="130"/>
      <c r="B199" s="136"/>
      <c r="N199" s="131"/>
      <c r="O199" s="134"/>
    </row>
    <row r="200" spans="1:15">
      <c r="A200" s="130"/>
      <c r="B200" s="136"/>
      <c r="N200" s="131"/>
      <c r="O200" s="134"/>
    </row>
    <row r="201" spans="1:15">
      <c r="A201" s="130"/>
      <c r="B201" s="136"/>
      <c r="N201" s="131"/>
      <c r="O201" s="134"/>
    </row>
    <row r="202" spans="1:15">
      <c r="A202" s="130"/>
      <c r="B202" s="136"/>
      <c r="N202" s="131"/>
      <c r="O202" s="134"/>
    </row>
    <row r="203" spans="1:15">
      <c r="A203" s="130"/>
      <c r="B203" s="136"/>
      <c r="N203" s="131"/>
      <c r="O203" s="134"/>
    </row>
    <row r="204" spans="1:15">
      <c r="A204" s="130"/>
      <c r="B204" s="136"/>
      <c r="N204" s="131"/>
      <c r="O204" s="134"/>
    </row>
    <row r="205" spans="1:15">
      <c r="A205" s="130"/>
      <c r="B205" s="136"/>
      <c r="N205" s="131"/>
      <c r="O205" s="134"/>
    </row>
    <row r="206" spans="1:15">
      <c r="A206" s="130"/>
      <c r="B206" s="136"/>
      <c r="N206" s="131"/>
      <c r="O206" s="134"/>
    </row>
    <row r="207" spans="1:15">
      <c r="A207" s="130"/>
      <c r="B207" s="136"/>
      <c r="N207" s="131"/>
      <c r="O207" s="134"/>
    </row>
    <row r="208" spans="1:15">
      <c r="A208" s="130"/>
      <c r="B208" s="136"/>
      <c r="N208" s="131"/>
      <c r="O208" s="134"/>
    </row>
    <row r="209" spans="1:15">
      <c r="A209" s="130"/>
      <c r="B209" s="136"/>
      <c r="N209" s="131"/>
      <c r="O209" s="134"/>
    </row>
    <row r="210" spans="1:15">
      <c r="A210" s="130"/>
      <c r="B210" s="136"/>
      <c r="N210" s="131"/>
      <c r="O210" s="134"/>
    </row>
    <row r="211" spans="1:15">
      <c r="A211" s="130"/>
      <c r="B211" s="136"/>
      <c r="N211" s="131"/>
      <c r="O211" s="134"/>
    </row>
    <row r="212" spans="1:15">
      <c r="A212" s="130"/>
      <c r="B212" s="136"/>
      <c r="N212" s="131"/>
      <c r="O212" s="134"/>
    </row>
    <row r="213" spans="1:15">
      <c r="A213" s="130"/>
      <c r="B213" s="136"/>
      <c r="N213" s="131"/>
      <c r="O213" s="134"/>
    </row>
    <row r="214" spans="1:15">
      <c r="A214" s="130"/>
      <c r="B214" s="136"/>
      <c r="N214" s="131"/>
      <c r="O214" s="134"/>
    </row>
    <row r="215" spans="1:15">
      <c r="A215" s="130"/>
      <c r="B215" s="136"/>
      <c r="N215" s="131"/>
      <c r="O215" s="134"/>
    </row>
    <row r="216" spans="1:15">
      <c r="A216" s="130"/>
      <c r="B216" s="136"/>
      <c r="N216" s="131"/>
      <c r="O216" s="134"/>
    </row>
    <row r="217" spans="1:15">
      <c r="A217" s="130"/>
      <c r="B217" s="136"/>
      <c r="N217" s="131"/>
      <c r="O217" s="134"/>
    </row>
    <row r="218" spans="1:15">
      <c r="A218" s="130"/>
      <c r="B218" s="136"/>
      <c r="N218" s="131"/>
      <c r="O218" s="134"/>
    </row>
    <row r="219" spans="1:15">
      <c r="A219" s="130"/>
      <c r="B219" s="136"/>
      <c r="N219" s="131"/>
      <c r="O219" s="134"/>
    </row>
    <row r="220" spans="1:15">
      <c r="A220" s="130"/>
      <c r="B220" s="136"/>
      <c r="N220" s="131"/>
      <c r="O220" s="134"/>
    </row>
    <row r="221" spans="1:15">
      <c r="A221" s="130"/>
      <c r="B221" s="136"/>
      <c r="N221" s="131"/>
      <c r="O221" s="134"/>
    </row>
    <row r="222" spans="1:15">
      <c r="A222" s="130"/>
      <c r="B222" s="136"/>
      <c r="N222" s="131"/>
      <c r="O222" s="134"/>
    </row>
    <row r="223" spans="1:15">
      <c r="A223" s="130"/>
      <c r="B223" s="136"/>
      <c r="N223" s="131"/>
      <c r="O223" s="134"/>
    </row>
    <row r="224" spans="1:15">
      <c r="A224" s="130"/>
      <c r="B224" s="136"/>
      <c r="N224" s="131"/>
      <c r="O224" s="134"/>
    </row>
    <row r="225" spans="1:15">
      <c r="A225" s="130"/>
      <c r="B225" s="136"/>
      <c r="N225" s="131"/>
      <c r="O225" s="134"/>
    </row>
    <row r="226" spans="1:15">
      <c r="A226" s="130"/>
      <c r="B226" s="136"/>
      <c r="N226" s="131"/>
      <c r="O226" s="134"/>
    </row>
    <row r="227" spans="1:15">
      <c r="A227" s="130"/>
      <c r="B227" s="136"/>
      <c r="N227" s="131"/>
      <c r="O227" s="134"/>
    </row>
    <row r="228" spans="1:15">
      <c r="A228" s="130"/>
      <c r="B228" s="136"/>
      <c r="N228" s="131"/>
      <c r="O228" s="134"/>
    </row>
    <row r="229" spans="1:15">
      <c r="A229" s="130"/>
      <c r="B229" s="136"/>
      <c r="N229" s="131"/>
      <c r="O229" s="134"/>
    </row>
    <row r="230" spans="1:15">
      <c r="A230" s="130"/>
      <c r="B230" s="136"/>
      <c r="N230" s="131"/>
      <c r="O230" s="134"/>
    </row>
    <row r="231" spans="1:15">
      <c r="A231" s="130"/>
      <c r="B231" s="136"/>
      <c r="N231" s="131"/>
      <c r="O231" s="134"/>
    </row>
    <row r="232" spans="1:15">
      <c r="A232" s="130"/>
      <c r="B232" s="136"/>
      <c r="N232" s="131"/>
      <c r="O232" s="134"/>
    </row>
    <row r="233" spans="1:15">
      <c r="A233" s="130"/>
      <c r="B233" s="136"/>
      <c r="N233" s="131"/>
      <c r="O233" s="134"/>
    </row>
    <row r="234" spans="1:15">
      <c r="A234" s="130"/>
      <c r="B234" s="136"/>
      <c r="N234" s="131"/>
      <c r="O234" s="134"/>
    </row>
    <row r="235" spans="1:15">
      <c r="A235" s="130"/>
      <c r="B235" s="136"/>
      <c r="N235" s="131"/>
      <c r="O235" s="134"/>
    </row>
    <row r="236" spans="1:15">
      <c r="A236" s="130"/>
      <c r="B236" s="136"/>
      <c r="N236" s="131"/>
      <c r="O236" s="134"/>
    </row>
    <row r="237" spans="1:15">
      <c r="A237" s="130"/>
      <c r="B237" s="136"/>
      <c r="N237" s="131"/>
      <c r="O237" s="134"/>
    </row>
    <row r="238" spans="1:15">
      <c r="A238" s="130"/>
      <c r="B238" s="136"/>
      <c r="N238" s="131"/>
      <c r="O238" s="134"/>
    </row>
    <row r="239" spans="1:15">
      <c r="A239" s="130"/>
      <c r="B239" s="136"/>
      <c r="N239" s="131"/>
      <c r="O239" s="134"/>
    </row>
    <row r="240" spans="1:15">
      <c r="A240" s="130"/>
      <c r="B240" s="136"/>
      <c r="N240" s="131"/>
      <c r="O240" s="134"/>
    </row>
    <row r="241" spans="1:15">
      <c r="A241" s="130"/>
      <c r="B241" s="136"/>
      <c r="N241" s="131"/>
      <c r="O241" s="134"/>
    </row>
    <row r="242" spans="1:15">
      <c r="A242" s="130"/>
      <c r="B242" s="136"/>
      <c r="N242" s="131"/>
      <c r="O242" s="134"/>
    </row>
    <row r="243" spans="1:15">
      <c r="A243" s="130"/>
      <c r="B243" s="136"/>
      <c r="N243" s="131"/>
      <c r="O243" s="134"/>
    </row>
    <row r="244" spans="1:15">
      <c r="A244" s="130"/>
      <c r="B244" s="136"/>
      <c r="N244" s="131"/>
      <c r="O244" s="134"/>
    </row>
    <row r="245" spans="1:15">
      <c r="A245" s="130"/>
      <c r="B245" s="136"/>
      <c r="N245" s="131"/>
      <c r="O245" s="134"/>
    </row>
    <row r="246" spans="1:15">
      <c r="A246" s="130"/>
      <c r="B246" s="136"/>
      <c r="N246" s="131"/>
      <c r="O246" s="134"/>
    </row>
    <row r="247" spans="1:15">
      <c r="A247" s="130"/>
      <c r="B247" s="136"/>
      <c r="N247" s="131"/>
      <c r="O247" s="134"/>
    </row>
    <row r="248" spans="1:15">
      <c r="A248" s="130"/>
      <c r="B248" s="136"/>
      <c r="N248" s="131"/>
      <c r="O248" s="134"/>
    </row>
    <row r="249" spans="1:15">
      <c r="A249" s="130"/>
      <c r="B249" s="136"/>
      <c r="N249" s="131"/>
      <c r="O249" s="134"/>
    </row>
    <row r="250" spans="1:15">
      <c r="A250" s="130"/>
      <c r="B250" s="136"/>
      <c r="N250" s="131"/>
      <c r="O250" s="134"/>
    </row>
    <row r="251" spans="1:15">
      <c r="A251" s="130"/>
      <c r="B251" s="136"/>
      <c r="N251" s="131"/>
      <c r="O251" s="134"/>
    </row>
    <row r="252" spans="1:15">
      <c r="A252" s="130"/>
      <c r="B252" s="136"/>
      <c r="N252" s="131"/>
      <c r="O252" s="134"/>
    </row>
    <row r="253" spans="1:15">
      <c r="A253" s="130"/>
      <c r="B253" s="136"/>
      <c r="N253" s="131"/>
      <c r="O253" s="134"/>
    </row>
    <row r="254" spans="1:15">
      <c r="A254" s="130"/>
      <c r="B254" s="136"/>
      <c r="N254" s="131"/>
      <c r="O254" s="134"/>
    </row>
    <row r="255" spans="1:15">
      <c r="A255" s="130"/>
      <c r="B255" s="136"/>
      <c r="N255" s="131"/>
      <c r="O255" s="134"/>
    </row>
    <row r="256" spans="1:15">
      <c r="A256" s="130"/>
      <c r="B256" s="136"/>
      <c r="N256" s="131"/>
      <c r="O256" s="134"/>
    </row>
    <row r="257" spans="1:15">
      <c r="A257" s="130"/>
      <c r="B257" s="136"/>
      <c r="N257" s="131"/>
      <c r="O257" s="134"/>
    </row>
    <row r="258" spans="1:15">
      <c r="A258" s="130"/>
      <c r="B258" s="136"/>
      <c r="N258" s="131"/>
      <c r="O258" s="134"/>
    </row>
    <row r="259" spans="1:15">
      <c r="A259" s="130"/>
      <c r="B259" s="136"/>
      <c r="N259" s="131"/>
      <c r="O259" s="134"/>
    </row>
    <row r="260" spans="1:15">
      <c r="A260" s="130"/>
      <c r="B260" s="136"/>
      <c r="N260" s="131"/>
      <c r="O260" s="134"/>
    </row>
    <row r="261" spans="1:15">
      <c r="A261" s="130"/>
      <c r="B261" s="136"/>
      <c r="N261" s="131"/>
      <c r="O261" s="134"/>
    </row>
    <row r="262" spans="1:15">
      <c r="A262" s="130"/>
      <c r="B262" s="136"/>
      <c r="N262" s="131"/>
      <c r="O262" s="134"/>
    </row>
    <row r="263" spans="1:15">
      <c r="A263" s="130"/>
      <c r="B263" s="136"/>
      <c r="N263" s="131"/>
      <c r="O263" s="134"/>
    </row>
    <row r="264" spans="1:15">
      <c r="A264" s="130"/>
      <c r="B264" s="136"/>
      <c r="N264" s="131"/>
      <c r="O264" s="134"/>
    </row>
    <row r="265" spans="1:15">
      <c r="A265" s="130"/>
      <c r="B265" s="136"/>
      <c r="N265" s="131"/>
      <c r="O265" s="134"/>
    </row>
    <row r="266" spans="1:15">
      <c r="A266" s="130"/>
      <c r="B266" s="136"/>
      <c r="N266" s="131"/>
      <c r="O266" s="134"/>
    </row>
    <row r="267" spans="1:15">
      <c r="A267" s="130"/>
      <c r="B267" s="136"/>
      <c r="N267" s="131"/>
      <c r="O267" s="134"/>
    </row>
    <row r="268" spans="1:15">
      <c r="A268" s="130"/>
      <c r="B268" s="136"/>
      <c r="N268" s="131"/>
      <c r="O268" s="134"/>
    </row>
    <row r="269" spans="1:15">
      <c r="A269" s="130"/>
      <c r="B269" s="136"/>
      <c r="N269" s="131"/>
      <c r="O269" s="134"/>
    </row>
    <row r="270" spans="1:15">
      <c r="A270" s="130"/>
      <c r="B270" s="136"/>
      <c r="N270" s="131"/>
      <c r="O270" s="134"/>
    </row>
    <row r="271" spans="1:15">
      <c r="A271" s="130"/>
      <c r="B271" s="136"/>
      <c r="N271" s="131"/>
      <c r="O271" s="134"/>
    </row>
    <row r="272" spans="1:15">
      <c r="A272" s="130"/>
      <c r="B272" s="136"/>
      <c r="N272" s="131"/>
      <c r="O272" s="134"/>
    </row>
    <row r="273" spans="1:15">
      <c r="A273" s="130"/>
      <c r="B273" s="136"/>
      <c r="N273" s="131"/>
      <c r="O273" s="134"/>
    </row>
    <row r="274" spans="1:15">
      <c r="A274" s="130"/>
      <c r="B274" s="136"/>
      <c r="N274" s="131"/>
      <c r="O274" s="134"/>
    </row>
    <row r="275" spans="1:15">
      <c r="A275" s="130"/>
      <c r="B275" s="136"/>
      <c r="N275" s="131"/>
      <c r="O275" s="134"/>
    </row>
    <row r="276" spans="1:15">
      <c r="A276" s="130"/>
      <c r="B276" s="136"/>
      <c r="N276" s="131"/>
      <c r="O276" s="134"/>
    </row>
    <row r="277" spans="1:15">
      <c r="A277" s="130"/>
      <c r="B277" s="136"/>
      <c r="N277" s="131"/>
      <c r="O277" s="134"/>
    </row>
    <row r="278" spans="1:15">
      <c r="A278" s="130"/>
      <c r="B278" s="136"/>
      <c r="N278" s="131"/>
      <c r="O278" s="134"/>
    </row>
    <row r="279" spans="1:15">
      <c r="A279" s="130"/>
      <c r="B279" s="136"/>
      <c r="N279" s="131"/>
      <c r="O279" s="134"/>
    </row>
    <row r="280" spans="1:15">
      <c r="A280" s="130"/>
      <c r="B280" s="136"/>
      <c r="N280" s="131"/>
      <c r="O280" s="134"/>
    </row>
    <row r="281" spans="1:15">
      <c r="A281" s="130"/>
      <c r="B281" s="136"/>
      <c r="N281" s="131"/>
      <c r="O281" s="134"/>
    </row>
    <row r="282" spans="1:15">
      <c r="A282" s="130"/>
      <c r="B282" s="136"/>
      <c r="N282" s="131"/>
      <c r="O282" s="134"/>
    </row>
    <row r="283" spans="1:15">
      <c r="A283" s="130"/>
      <c r="B283" s="136"/>
      <c r="N283" s="131"/>
      <c r="O283" s="134"/>
    </row>
    <row r="284" spans="1:15">
      <c r="A284" s="130"/>
      <c r="B284" s="136"/>
      <c r="N284" s="131"/>
      <c r="O284" s="134"/>
    </row>
    <row r="285" spans="1:15">
      <c r="A285" s="130"/>
      <c r="B285" s="136"/>
      <c r="N285" s="131"/>
      <c r="O285" s="134"/>
    </row>
    <row r="286" spans="1:15">
      <c r="A286" s="130"/>
      <c r="B286" s="136"/>
      <c r="N286" s="131"/>
      <c r="O286" s="134"/>
    </row>
    <row r="287" spans="1:15">
      <c r="A287" s="130"/>
      <c r="B287" s="136"/>
      <c r="N287" s="131"/>
      <c r="O287" s="134"/>
    </row>
    <row r="288" spans="1:15">
      <c r="A288" s="130"/>
      <c r="B288" s="136"/>
      <c r="N288" s="131"/>
      <c r="O288" s="134"/>
    </row>
    <row r="289" spans="1:15">
      <c r="A289" s="130"/>
      <c r="B289" s="136"/>
      <c r="N289" s="131"/>
      <c r="O289" s="134"/>
    </row>
    <row r="290" spans="1:15">
      <c r="A290" s="130"/>
      <c r="B290" s="136"/>
      <c r="N290" s="131"/>
      <c r="O290" s="134"/>
    </row>
    <row r="291" spans="1:15">
      <c r="A291" s="130"/>
      <c r="B291" s="136"/>
      <c r="N291" s="131"/>
      <c r="O291" s="134"/>
    </row>
    <row r="292" spans="1:15">
      <c r="A292" s="130"/>
      <c r="B292" s="136"/>
      <c r="N292" s="131"/>
      <c r="O292" s="134"/>
    </row>
    <row r="293" spans="1:15">
      <c r="A293" s="130"/>
      <c r="B293" s="136"/>
      <c r="N293" s="131"/>
      <c r="O293" s="134"/>
    </row>
    <row r="294" spans="1:15">
      <c r="A294" s="130"/>
      <c r="B294" s="136"/>
      <c r="N294" s="131"/>
      <c r="O294" s="134"/>
    </row>
    <row r="295" spans="1:15">
      <c r="A295" s="130"/>
      <c r="B295" s="136"/>
      <c r="N295" s="131"/>
      <c r="O295" s="134"/>
    </row>
    <row r="296" spans="1:15">
      <c r="A296" s="130"/>
      <c r="B296" s="136"/>
      <c r="N296" s="131"/>
      <c r="O296" s="134"/>
    </row>
    <row r="297" spans="1:15">
      <c r="A297" s="130"/>
      <c r="B297" s="136"/>
      <c r="N297" s="131"/>
      <c r="O297" s="134"/>
    </row>
    <row r="298" spans="1:15">
      <c r="A298" s="130"/>
      <c r="B298" s="136"/>
      <c r="N298" s="131"/>
      <c r="O298" s="134"/>
    </row>
    <row r="299" spans="1:15">
      <c r="A299" s="130"/>
      <c r="B299" s="136"/>
      <c r="N299" s="131"/>
      <c r="O299" s="134"/>
    </row>
    <row r="300" spans="1:15">
      <c r="A300" s="130"/>
      <c r="B300" s="136"/>
      <c r="N300" s="131"/>
      <c r="O300" s="134"/>
    </row>
    <row r="301" spans="1:15">
      <c r="A301" s="130"/>
      <c r="B301" s="136"/>
      <c r="N301" s="131"/>
      <c r="O301" s="134"/>
    </row>
    <row r="302" spans="1:15">
      <c r="A302" s="130"/>
      <c r="B302" s="136"/>
      <c r="N302" s="131"/>
      <c r="O302" s="134"/>
    </row>
    <row r="303" spans="1:15">
      <c r="A303" s="130"/>
      <c r="B303" s="136"/>
      <c r="N303" s="131"/>
      <c r="O303" s="134"/>
    </row>
    <row r="304" spans="1:15">
      <c r="A304" s="130"/>
      <c r="B304" s="136"/>
      <c r="N304" s="131"/>
      <c r="O304" s="134"/>
    </row>
    <row r="305" spans="1:15">
      <c r="A305" s="130"/>
      <c r="B305" s="136"/>
      <c r="N305" s="131"/>
      <c r="O305" s="134"/>
    </row>
    <row r="306" spans="1:15">
      <c r="A306" s="130"/>
      <c r="B306" s="136"/>
      <c r="N306" s="131"/>
      <c r="O306" s="134"/>
    </row>
    <row r="307" spans="1:15">
      <c r="A307" s="130"/>
      <c r="B307" s="136"/>
      <c r="N307" s="131"/>
      <c r="O307" s="134"/>
    </row>
    <row r="308" spans="1:15">
      <c r="A308" s="130"/>
      <c r="B308" s="136"/>
      <c r="N308" s="131"/>
      <c r="O308" s="134"/>
    </row>
    <row r="309" spans="1:15">
      <c r="A309" s="130"/>
      <c r="B309" s="136"/>
      <c r="N309" s="131"/>
      <c r="O309" s="134"/>
    </row>
    <row r="310" spans="1:15">
      <c r="A310" s="130"/>
      <c r="B310" s="136"/>
      <c r="N310" s="131"/>
      <c r="O310" s="134"/>
    </row>
    <row r="311" spans="1:15">
      <c r="A311" s="130"/>
      <c r="B311" s="136"/>
      <c r="N311" s="131"/>
      <c r="O311" s="134"/>
    </row>
    <row r="312" spans="1:15">
      <c r="A312" s="130"/>
      <c r="B312" s="136"/>
      <c r="N312" s="131"/>
      <c r="O312" s="134"/>
    </row>
    <row r="313" spans="1:15">
      <c r="A313" s="130"/>
      <c r="B313" s="136"/>
      <c r="N313" s="131"/>
      <c r="O313" s="134"/>
    </row>
    <row r="314" spans="1:15">
      <c r="A314" s="130"/>
      <c r="B314" s="136"/>
      <c r="N314" s="131"/>
      <c r="O314" s="134"/>
    </row>
    <row r="315" spans="1:15">
      <c r="A315" s="130"/>
      <c r="B315" s="136"/>
      <c r="N315" s="131"/>
      <c r="O315" s="134"/>
    </row>
    <row r="316" spans="1:15">
      <c r="A316" s="130"/>
      <c r="B316" s="136"/>
      <c r="N316" s="131"/>
      <c r="O316" s="134"/>
    </row>
    <row r="317" spans="1:15">
      <c r="A317" s="130"/>
      <c r="B317" s="136"/>
      <c r="N317" s="131"/>
      <c r="O317" s="134"/>
    </row>
    <row r="318" spans="1:15">
      <c r="A318" s="130"/>
      <c r="B318" s="136"/>
      <c r="N318" s="131"/>
      <c r="O318" s="134"/>
    </row>
    <row r="319" spans="1:15">
      <c r="A319" s="130"/>
      <c r="B319" s="136"/>
      <c r="N319" s="131"/>
      <c r="O319" s="134"/>
    </row>
    <row r="320" spans="1:15">
      <c r="A320" s="130"/>
      <c r="B320" s="136"/>
      <c r="N320" s="131"/>
      <c r="O320" s="134"/>
    </row>
    <row r="321" spans="1:15">
      <c r="A321" s="130"/>
      <c r="B321" s="136"/>
      <c r="N321" s="131"/>
      <c r="O321" s="134"/>
    </row>
    <row r="322" spans="1:15">
      <c r="A322" s="130"/>
      <c r="B322" s="136"/>
      <c r="N322" s="131"/>
      <c r="O322" s="134"/>
    </row>
    <row r="323" spans="1:15">
      <c r="A323" s="130"/>
      <c r="B323" s="136"/>
      <c r="N323" s="131"/>
      <c r="O323" s="134"/>
    </row>
    <row r="324" spans="1:15">
      <c r="A324" s="130"/>
      <c r="B324" s="136"/>
      <c r="N324" s="131"/>
      <c r="O324" s="134"/>
    </row>
    <row r="325" spans="1:15">
      <c r="A325" s="130"/>
      <c r="B325" s="136"/>
      <c r="N325" s="131"/>
      <c r="O325" s="134"/>
    </row>
    <row r="326" spans="1:15">
      <c r="A326" s="130"/>
      <c r="B326" s="136"/>
      <c r="N326" s="131"/>
      <c r="O326" s="134"/>
    </row>
    <row r="327" spans="1:15">
      <c r="A327" s="130"/>
      <c r="B327" s="136"/>
      <c r="N327" s="131"/>
      <c r="O327" s="134"/>
    </row>
    <row r="328" spans="1:15">
      <c r="A328" s="130"/>
      <c r="B328" s="136"/>
      <c r="N328" s="131"/>
      <c r="O328" s="134"/>
    </row>
    <row r="329" spans="1:15">
      <c r="A329" s="130"/>
      <c r="B329" s="136"/>
      <c r="N329" s="131"/>
      <c r="O329" s="134"/>
    </row>
    <row r="330" spans="1:15">
      <c r="A330" s="130"/>
      <c r="B330" s="136"/>
      <c r="N330" s="131"/>
      <c r="O330" s="134"/>
    </row>
    <row r="331" spans="1:15">
      <c r="A331" s="130"/>
      <c r="B331" s="136"/>
      <c r="N331" s="131"/>
      <c r="O331" s="134"/>
    </row>
    <row r="332" spans="1:15">
      <c r="A332" s="130"/>
      <c r="B332" s="136"/>
      <c r="N332" s="131"/>
      <c r="O332" s="134"/>
    </row>
    <row r="333" spans="1:15">
      <c r="A333" s="130"/>
      <c r="B333" s="136"/>
      <c r="N333" s="131"/>
      <c r="O333" s="134"/>
    </row>
    <row r="334" spans="1:15">
      <c r="A334" s="130"/>
      <c r="B334" s="136"/>
      <c r="N334" s="131"/>
      <c r="O334" s="134"/>
    </row>
    <row r="335" spans="1:15">
      <c r="A335" s="130"/>
      <c r="B335" s="136"/>
      <c r="N335" s="131"/>
      <c r="O335" s="134"/>
    </row>
    <row r="336" spans="1:15">
      <c r="A336" s="130"/>
      <c r="B336" s="136"/>
      <c r="N336" s="131"/>
      <c r="O336" s="134"/>
    </row>
    <row r="337" spans="1:15">
      <c r="A337" s="130"/>
      <c r="B337" s="136"/>
      <c r="N337" s="131"/>
      <c r="O337" s="134"/>
    </row>
    <row r="338" spans="1:15">
      <c r="A338" s="130"/>
      <c r="B338" s="136"/>
      <c r="N338" s="131"/>
      <c r="O338" s="134"/>
    </row>
    <row r="339" spans="1:15">
      <c r="A339" s="130"/>
      <c r="B339" s="136"/>
      <c r="N339" s="131"/>
      <c r="O339" s="134"/>
    </row>
    <row r="340" spans="1:15">
      <c r="A340" s="130"/>
      <c r="B340" s="136"/>
      <c r="N340" s="131"/>
      <c r="O340" s="134"/>
    </row>
    <row r="341" spans="1:15">
      <c r="A341" s="130"/>
      <c r="B341" s="136"/>
      <c r="N341" s="131"/>
      <c r="O341" s="134"/>
    </row>
    <row r="342" spans="1:15">
      <c r="A342" s="130"/>
      <c r="B342" s="136"/>
      <c r="N342" s="131"/>
      <c r="O342" s="134"/>
    </row>
    <row r="343" spans="1:15">
      <c r="A343" s="130"/>
      <c r="B343" s="136"/>
      <c r="N343" s="131"/>
      <c r="O343" s="134"/>
    </row>
    <row r="344" spans="1:15">
      <c r="A344" s="130"/>
      <c r="B344" s="136"/>
      <c r="N344" s="131"/>
      <c r="O344" s="134"/>
    </row>
    <row r="345" spans="1:15">
      <c r="A345" s="130"/>
      <c r="B345" s="136"/>
      <c r="N345" s="131"/>
      <c r="O345" s="134"/>
    </row>
    <row r="346" spans="1:15">
      <c r="A346" s="130"/>
      <c r="B346" s="136"/>
      <c r="N346" s="131"/>
      <c r="O346" s="134"/>
    </row>
    <row r="347" spans="1:15">
      <c r="A347" s="130"/>
      <c r="B347" s="136"/>
      <c r="N347" s="131"/>
      <c r="O347" s="134"/>
    </row>
    <row r="348" spans="1:15">
      <c r="A348" s="130"/>
      <c r="B348" s="136"/>
      <c r="N348" s="131"/>
      <c r="O348" s="134"/>
    </row>
    <row r="349" spans="1:15">
      <c r="A349" s="130"/>
      <c r="B349" s="136"/>
      <c r="N349" s="131"/>
      <c r="O349" s="134"/>
    </row>
    <row r="350" spans="1:15">
      <c r="A350" s="130"/>
      <c r="B350" s="136"/>
      <c r="N350" s="131"/>
      <c r="O350" s="134"/>
    </row>
    <row r="351" spans="1:15">
      <c r="A351" s="130"/>
      <c r="B351" s="136"/>
      <c r="N351" s="131"/>
      <c r="O351" s="134"/>
    </row>
    <row r="352" spans="1:15">
      <c r="A352" s="130"/>
      <c r="B352" s="136"/>
      <c r="N352" s="131"/>
      <c r="O352" s="134"/>
    </row>
    <row r="353" spans="1:15">
      <c r="A353" s="130"/>
      <c r="B353" s="136"/>
      <c r="N353" s="131"/>
      <c r="O353" s="134"/>
    </row>
    <row r="354" spans="1:15">
      <c r="A354" s="130"/>
      <c r="B354" s="136"/>
      <c r="N354" s="131"/>
      <c r="O354" s="134"/>
    </row>
    <row r="355" spans="1:15">
      <c r="A355" s="130"/>
      <c r="B355" s="136"/>
      <c r="N355" s="131"/>
      <c r="O355" s="134"/>
    </row>
    <row r="356" spans="1:15">
      <c r="A356" s="130"/>
      <c r="B356" s="136"/>
      <c r="N356" s="131"/>
      <c r="O356" s="134"/>
    </row>
    <row r="357" spans="1:15">
      <c r="A357" s="130"/>
      <c r="B357" s="136"/>
      <c r="N357" s="131"/>
      <c r="O357" s="134"/>
    </row>
    <row r="358" spans="1:15">
      <c r="A358" s="130"/>
      <c r="B358" s="136"/>
      <c r="N358" s="131"/>
      <c r="O358" s="134"/>
    </row>
    <row r="359" spans="1:15">
      <c r="A359" s="130"/>
      <c r="B359" s="136"/>
      <c r="N359" s="131"/>
      <c r="O359" s="134"/>
    </row>
    <row r="360" spans="1:15">
      <c r="A360" s="130"/>
      <c r="B360" s="136"/>
      <c r="N360" s="131"/>
      <c r="O360" s="134"/>
    </row>
    <row r="361" spans="1:15">
      <c r="A361" s="130"/>
      <c r="B361" s="136"/>
      <c r="N361" s="131"/>
      <c r="O361" s="134"/>
    </row>
    <row r="362" spans="1:15">
      <c r="A362" s="130"/>
      <c r="B362" s="136"/>
      <c r="N362" s="131"/>
      <c r="O362" s="134"/>
    </row>
    <row r="363" spans="1:15">
      <c r="A363" s="130"/>
      <c r="B363" s="136"/>
      <c r="N363" s="131"/>
      <c r="O363" s="134"/>
    </row>
    <row r="364" spans="1:15">
      <c r="A364" s="130"/>
      <c r="B364" s="136"/>
      <c r="N364" s="131"/>
      <c r="O364" s="134"/>
    </row>
    <row r="365" spans="1:15">
      <c r="A365" s="130"/>
      <c r="B365" s="136"/>
      <c r="N365" s="131"/>
      <c r="O365" s="134"/>
    </row>
    <row r="366" spans="1:15">
      <c r="A366" s="130"/>
      <c r="B366" s="136"/>
      <c r="N366" s="131"/>
      <c r="O366" s="134"/>
    </row>
    <row r="367" spans="1:15">
      <c r="A367" s="130"/>
      <c r="B367" s="136"/>
      <c r="N367" s="131"/>
      <c r="O367" s="134"/>
    </row>
    <row r="368" spans="1:15">
      <c r="A368" s="130"/>
      <c r="B368" s="136"/>
      <c r="N368" s="131"/>
      <c r="O368" s="134"/>
    </row>
    <row r="369" spans="1:15">
      <c r="A369" s="130"/>
      <c r="B369" s="136"/>
      <c r="N369" s="131"/>
      <c r="O369" s="134"/>
    </row>
    <row r="370" spans="1:15">
      <c r="A370" s="130"/>
      <c r="B370" s="136"/>
      <c r="N370" s="131"/>
      <c r="O370" s="134"/>
    </row>
    <row r="371" spans="1:15">
      <c r="A371" s="130"/>
      <c r="B371" s="136"/>
      <c r="N371" s="131"/>
      <c r="O371" s="134"/>
    </row>
    <row r="372" spans="1:15">
      <c r="A372" s="130"/>
      <c r="B372" s="136"/>
      <c r="N372" s="131"/>
      <c r="O372" s="134"/>
    </row>
    <row r="373" spans="1:15">
      <c r="A373" s="130"/>
      <c r="B373" s="136"/>
      <c r="N373" s="131"/>
      <c r="O373" s="134"/>
    </row>
    <row r="374" spans="1:15">
      <c r="A374" s="130"/>
      <c r="B374" s="136"/>
      <c r="N374" s="131"/>
      <c r="O374" s="134"/>
    </row>
    <row r="375" spans="1:15">
      <c r="A375" s="130"/>
      <c r="B375" s="136"/>
      <c r="N375" s="131"/>
      <c r="O375" s="134"/>
    </row>
    <row r="376" spans="1:15">
      <c r="A376" s="130"/>
      <c r="B376" s="136"/>
      <c r="N376" s="131"/>
      <c r="O376" s="134"/>
    </row>
    <row r="377" spans="1:15">
      <c r="A377" s="130"/>
      <c r="B377" s="136"/>
      <c r="N377" s="131"/>
      <c r="O377" s="134"/>
    </row>
    <row r="378" spans="1:15">
      <c r="A378" s="130"/>
      <c r="B378" s="136"/>
      <c r="N378" s="131"/>
      <c r="O378" s="134"/>
    </row>
    <row r="379" spans="1:15">
      <c r="A379" s="130"/>
      <c r="B379" s="136"/>
      <c r="N379" s="131"/>
      <c r="O379" s="134"/>
    </row>
    <row r="380" spans="1:15">
      <c r="A380" s="130"/>
      <c r="B380" s="136"/>
      <c r="N380" s="131"/>
      <c r="O380" s="134"/>
    </row>
    <row r="381" spans="1:15">
      <c r="A381" s="130"/>
      <c r="B381" s="136"/>
      <c r="N381" s="131"/>
      <c r="O381" s="134"/>
    </row>
    <row r="382" spans="1:15">
      <c r="A382" s="130"/>
      <c r="B382" s="136"/>
      <c r="N382" s="131"/>
      <c r="O382" s="134"/>
    </row>
    <row r="383" spans="1:15">
      <c r="A383" s="130"/>
      <c r="B383" s="136"/>
      <c r="N383" s="131"/>
      <c r="O383" s="134"/>
    </row>
    <row r="384" spans="1:15">
      <c r="A384" s="130"/>
      <c r="B384" s="136"/>
      <c r="N384" s="131"/>
      <c r="O384" s="134"/>
    </row>
    <row r="385" spans="1:15">
      <c r="A385" s="130"/>
      <c r="B385" s="136"/>
      <c r="N385" s="131"/>
      <c r="O385" s="134"/>
    </row>
    <row r="386" spans="1:15">
      <c r="A386" s="130"/>
      <c r="B386" s="136"/>
      <c r="N386" s="131"/>
      <c r="O386" s="134"/>
    </row>
    <row r="387" spans="1:15">
      <c r="A387" s="130"/>
      <c r="B387" s="136"/>
      <c r="N387" s="131"/>
      <c r="O387" s="134"/>
    </row>
    <row r="388" spans="1:15">
      <c r="A388" s="130"/>
      <c r="B388" s="136"/>
      <c r="N388" s="131"/>
      <c r="O388" s="134"/>
    </row>
    <row r="389" spans="1:15">
      <c r="A389" s="130"/>
      <c r="B389" s="136"/>
      <c r="N389" s="131"/>
      <c r="O389" s="134"/>
    </row>
    <row r="390" spans="1:15">
      <c r="A390" s="130"/>
      <c r="B390" s="136"/>
      <c r="N390" s="131"/>
      <c r="O390" s="134"/>
    </row>
    <row r="391" spans="1:15">
      <c r="A391" s="130"/>
      <c r="B391" s="136"/>
      <c r="N391" s="131"/>
      <c r="O391" s="134"/>
    </row>
    <row r="392" spans="1:15">
      <c r="A392" s="130"/>
      <c r="B392" s="136"/>
      <c r="N392" s="131"/>
      <c r="O392" s="134"/>
    </row>
    <row r="393" spans="1:15">
      <c r="A393" s="130"/>
      <c r="B393" s="136"/>
      <c r="N393" s="131"/>
      <c r="O393" s="134"/>
    </row>
    <row r="394" spans="1:15">
      <c r="A394" s="130"/>
      <c r="B394" s="136"/>
      <c r="N394" s="131"/>
      <c r="O394" s="134"/>
    </row>
    <row r="395" spans="1:15">
      <c r="A395" s="130"/>
      <c r="B395" s="136"/>
      <c r="N395" s="131"/>
      <c r="O395" s="134"/>
    </row>
    <row r="396" spans="1:15">
      <c r="A396" s="130"/>
      <c r="B396" s="136"/>
      <c r="N396" s="131"/>
      <c r="O396" s="134"/>
    </row>
    <row r="397" spans="1:15">
      <c r="A397" s="130"/>
      <c r="B397" s="136"/>
      <c r="N397" s="131"/>
      <c r="O397" s="134"/>
    </row>
    <row r="398" spans="1:15">
      <c r="A398" s="130"/>
      <c r="B398" s="136"/>
      <c r="N398" s="131"/>
      <c r="O398" s="134"/>
    </row>
    <row r="399" spans="1:15">
      <c r="A399" s="130"/>
      <c r="B399" s="136"/>
      <c r="N399" s="131"/>
      <c r="O399" s="134"/>
    </row>
    <row r="400" spans="1:15">
      <c r="A400" s="130"/>
      <c r="B400" s="136"/>
      <c r="N400" s="131"/>
      <c r="O400" s="134"/>
    </row>
    <row r="401" spans="1:15">
      <c r="A401" s="130"/>
      <c r="B401" s="136"/>
      <c r="N401" s="131"/>
      <c r="O401" s="134"/>
    </row>
    <row r="402" spans="1:15">
      <c r="A402" s="130"/>
      <c r="B402" s="136"/>
      <c r="N402" s="131"/>
      <c r="O402" s="134"/>
    </row>
    <row r="403" spans="1:15">
      <c r="A403" s="130"/>
      <c r="B403" s="136"/>
      <c r="N403" s="131"/>
      <c r="O403" s="134"/>
    </row>
    <row r="404" spans="1:15">
      <c r="A404" s="130"/>
      <c r="B404" s="136"/>
      <c r="N404" s="131"/>
      <c r="O404" s="134"/>
    </row>
    <row r="405" spans="1:15">
      <c r="A405" s="130"/>
      <c r="B405" s="136"/>
      <c r="N405" s="131"/>
      <c r="O405" s="134"/>
    </row>
    <row r="406" spans="1:15">
      <c r="A406" s="130"/>
      <c r="B406" s="136"/>
      <c r="N406" s="131"/>
      <c r="O406" s="134"/>
    </row>
    <row r="407" spans="1:15">
      <c r="A407" s="130"/>
      <c r="B407" s="136"/>
      <c r="N407" s="131"/>
      <c r="O407" s="134"/>
    </row>
    <row r="408" spans="1:15">
      <c r="A408" s="130"/>
      <c r="B408" s="136"/>
      <c r="N408" s="131"/>
      <c r="O408" s="134"/>
    </row>
    <row r="409" spans="1:15">
      <c r="A409" s="130"/>
      <c r="B409" s="136"/>
      <c r="N409" s="131"/>
      <c r="O409" s="134"/>
    </row>
    <row r="410" spans="1:15">
      <c r="A410" s="130"/>
      <c r="B410" s="136"/>
      <c r="N410" s="131"/>
      <c r="O410" s="134"/>
    </row>
    <row r="411" spans="1:15">
      <c r="A411" s="130"/>
      <c r="B411" s="136"/>
      <c r="N411" s="131"/>
      <c r="O411" s="134"/>
    </row>
    <row r="412" spans="1:15">
      <c r="A412" s="130"/>
      <c r="B412" s="136"/>
      <c r="N412" s="131"/>
      <c r="O412" s="134"/>
    </row>
    <row r="413" spans="1:15">
      <c r="A413" s="130"/>
      <c r="B413" s="136"/>
      <c r="N413" s="131"/>
      <c r="O413" s="134"/>
    </row>
    <row r="414" spans="1:15">
      <c r="A414" s="130"/>
      <c r="B414" s="136"/>
      <c r="N414" s="131"/>
      <c r="O414" s="134"/>
    </row>
    <row r="415" spans="1:15">
      <c r="A415" s="130"/>
      <c r="B415" s="136"/>
      <c r="N415" s="131"/>
      <c r="O415" s="134"/>
    </row>
    <row r="416" spans="1:15">
      <c r="A416" s="130"/>
      <c r="B416" s="136"/>
      <c r="N416" s="131"/>
      <c r="O416" s="134"/>
    </row>
    <row r="417" spans="1:15">
      <c r="A417" s="130"/>
      <c r="B417" s="136"/>
      <c r="N417" s="131"/>
      <c r="O417" s="134"/>
    </row>
    <row r="418" spans="1:15">
      <c r="A418" s="130"/>
      <c r="B418" s="136"/>
      <c r="N418" s="131"/>
      <c r="O418" s="134"/>
    </row>
    <row r="419" spans="1:15">
      <c r="A419" s="130"/>
      <c r="B419" s="136"/>
      <c r="N419" s="131"/>
      <c r="O419" s="134"/>
    </row>
    <row r="420" spans="1:15">
      <c r="A420" s="130"/>
      <c r="B420" s="136"/>
      <c r="N420" s="131"/>
      <c r="O420" s="134"/>
    </row>
    <row r="421" spans="1:15">
      <c r="A421" s="130"/>
      <c r="B421" s="136"/>
      <c r="N421" s="131"/>
      <c r="O421" s="134"/>
    </row>
    <row r="422" spans="1:15">
      <c r="A422" s="130"/>
      <c r="B422" s="136"/>
      <c r="N422" s="131"/>
      <c r="O422" s="134"/>
    </row>
    <row r="423" spans="1:15">
      <c r="A423" s="130"/>
      <c r="B423" s="136"/>
      <c r="N423" s="131"/>
      <c r="O423" s="134"/>
    </row>
    <row r="424" spans="1:15">
      <c r="A424" s="130"/>
      <c r="B424" s="136"/>
      <c r="N424" s="131"/>
      <c r="O424" s="134"/>
    </row>
    <row r="425" spans="1:15">
      <c r="A425" s="130"/>
      <c r="B425" s="136"/>
      <c r="N425" s="131"/>
      <c r="O425" s="134"/>
    </row>
    <row r="426" spans="1:15">
      <c r="A426" s="130"/>
      <c r="B426" s="136"/>
      <c r="N426" s="131"/>
      <c r="O426" s="134"/>
    </row>
    <row r="427" spans="1:15">
      <c r="A427" s="130"/>
      <c r="B427" s="136"/>
      <c r="N427" s="131"/>
      <c r="O427" s="134"/>
    </row>
    <row r="428" spans="1:15">
      <c r="A428" s="130"/>
      <c r="B428" s="136"/>
      <c r="N428" s="131"/>
      <c r="O428" s="134"/>
    </row>
    <row r="429" spans="1:15">
      <c r="A429" s="130"/>
      <c r="B429" s="136"/>
      <c r="N429" s="131"/>
      <c r="O429" s="134"/>
    </row>
    <row r="430" spans="1:15">
      <c r="A430" s="130"/>
      <c r="B430" s="136"/>
      <c r="N430" s="131"/>
      <c r="O430" s="134"/>
    </row>
    <row r="431" spans="1:15">
      <c r="A431" s="130"/>
      <c r="B431" s="136"/>
      <c r="N431" s="131"/>
      <c r="O431" s="134"/>
    </row>
    <row r="432" spans="1:15">
      <c r="A432" s="130"/>
      <c r="B432" s="136"/>
      <c r="N432" s="131"/>
      <c r="O432" s="134"/>
    </row>
    <row r="433" spans="1:15">
      <c r="A433" s="130"/>
      <c r="B433" s="136"/>
      <c r="N433" s="131"/>
      <c r="O433" s="134"/>
    </row>
    <row r="434" spans="1:15">
      <c r="A434" s="130"/>
      <c r="B434" s="136"/>
      <c r="N434" s="131"/>
      <c r="O434" s="134"/>
    </row>
    <row r="435" spans="1:15">
      <c r="A435" s="130"/>
      <c r="B435" s="136"/>
      <c r="N435" s="131"/>
      <c r="O435" s="134"/>
    </row>
    <row r="436" spans="1:15">
      <c r="A436" s="130"/>
      <c r="B436" s="136"/>
      <c r="N436" s="131"/>
      <c r="O436" s="134"/>
    </row>
    <row r="437" spans="1:15">
      <c r="A437" s="130"/>
      <c r="B437" s="136"/>
      <c r="N437" s="131"/>
      <c r="O437" s="134"/>
    </row>
    <row r="438" spans="1:15">
      <c r="A438" s="130"/>
      <c r="B438" s="136"/>
      <c r="N438" s="131"/>
      <c r="O438" s="134"/>
    </row>
    <row r="439" spans="1:15">
      <c r="A439" s="130"/>
      <c r="B439" s="136"/>
      <c r="N439" s="131"/>
      <c r="O439" s="134"/>
    </row>
    <row r="440" spans="1:15">
      <c r="A440" s="130"/>
      <c r="B440" s="136"/>
      <c r="N440" s="131"/>
      <c r="O440" s="134"/>
    </row>
    <row r="441" spans="1:15">
      <c r="A441" s="130"/>
      <c r="B441" s="136"/>
      <c r="N441" s="131"/>
      <c r="O441" s="134"/>
    </row>
    <row r="442" spans="1:15">
      <c r="A442" s="130"/>
      <c r="B442" s="136"/>
      <c r="N442" s="131"/>
      <c r="O442" s="134"/>
    </row>
    <row r="443" spans="1:15">
      <c r="A443" s="130"/>
      <c r="B443" s="136"/>
      <c r="N443" s="131"/>
      <c r="O443" s="134"/>
    </row>
    <row r="444" spans="1:15">
      <c r="A444" s="130"/>
      <c r="B444" s="136"/>
      <c r="N444" s="131"/>
      <c r="O444" s="134"/>
    </row>
    <row r="445" spans="1:15">
      <c r="A445" s="130"/>
      <c r="B445" s="136"/>
      <c r="N445" s="131"/>
      <c r="O445" s="134"/>
    </row>
    <row r="446" spans="1:15">
      <c r="A446" s="130"/>
      <c r="B446" s="136"/>
      <c r="N446" s="131"/>
      <c r="O446" s="134"/>
    </row>
    <row r="447" spans="1:15">
      <c r="A447" s="130"/>
      <c r="B447" s="136"/>
      <c r="N447" s="131"/>
      <c r="O447" s="134"/>
    </row>
    <row r="448" spans="1:15">
      <c r="A448" s="130"/>
      <c r="B448" s="136"/>
      <c r="N448" s="131"/>
      <c r="O448" s="134"/>
    </row>
    <row r="449" spans="1:15">
      <c r="A449" s="130"/>
      <c r="B449" s="136"/>
      <c r="N449" s="131"/>
      <c r="O449" s="134"/>
    </row>
    <row r="450" spans="1:15">
      <c r="A450" s="130"/>
      <c r="B450" s="136"/>
      <c r="N450" s="131"/>
      <c r="O450" s="134"/>
    </row>
    <row r="451" spans="1:15">
      <c r="A451" s="130"/>
      <c r="B451" s="136"/>
      <c r="N451" s="131"/>
      <c r="O451" s="134"/>
    </row>
    <row r="452" spans="1:15">
      <c r="A452" s="130"/>
      <c r="B452" s="136"/>
      <c r="N452" s="131"/>
      <c r="O452" s="134"/>
    </row>
    <row r="453" spans="1:15">
      <c r="A453" s="130"/>
      <c r="B453" s="136"/>
      <c r="N453" s="131"/>
      <c r="O453" s="134"/>
    </row>
    <row r="454" spans="1:15">
      <c r="A454" s="130"/>
      <c r="B454" s="136"/>
      <c r="N454" s="131"/>
      <c r="O454" s="134"/>
    </row>
    <row r="455" spans="1:15">
      <c r="A455" s="130"/>
      <c r="B455" s="136"/>
      <c r="N455" s="131"/>
      <c r="O455" s="134"/>
    </row>
    <row r="456" spans="1:15">
      <c r="A456" s="130"/>
      <c r="B456" s="136"/>
      <c r="N456" s="131"/>
      <c r="O456" s="134"/>
    </row>
    <row r="457" spans="1:15">
      <c r="A457" s="130"/>
      <c r="B457" s="136"/>
      <c r="N457" s="131"/>
      <c r="O457" s="134"/>
    </row>
    <row r="458" spans="1:15">
      <c r="A458" s="130"/>
      <c r="B458" s="136"/>
      <c r="N458" s="131"/>
      <c r="O458" s="134"/>
    </row>
    <row r="459" spans="1:15">
      <c r="A459" s="130"/>
      <c r="B459" s="136"/>
      <c r="N459" s="131"/>
      <c r="O459" s="134"/>
    </row>
    <row r="460" spans="1:15">
      <c r="A460" s="130"/>
      <c r="B460" s="136"/>
      <c r="N460" s="131"/>
      <c r="O460" s="134"/>
    </row>
    <row r="461" spans="1:15">
      <c r="A461" s="130"/>
      <c r="B461" s="136"/>
      <c r="N461" s="131"/>
      <c r="O461" s="134"/>
    </row>
    <row r="462" spans="1:15">
      <c r="A462" s="130"/>
      <c r="B462" s="136"/>
      <c r="N462" s="131"/>
      <c r="O462" s="134"/>
    </row>
    <row r="463" spans="1:15">
      <c r="A463" s="130"/>
      <c r="B463" s="136"/>
      <c r="N463" s="131"/>
      <c r="O463" s="134"/>
    </row>
    <row r="464" spans="1:15">
      <c r="A464" s="130"/>
      <c r="B464" s="136"/>
      <c r="N464" s="131"/>
      <c r="O464" s="134"/>
    </row>
    <row r="465" spans="1:15">
      <c r="A465" s="130"/>
      <c r="B465" s="136"/>
      <c r="N465" s="131"/>
      <c r="O465" s="134"/>
    </row>
    <row r="466" spans="1:15">
      <c r="A466" s="130"/>
      <c r="B466" s="136"/>
      <c r="N466" s="131"/>
      <c r="O466" s="134"/>
    </row>
    <row r="467" spans="1:15">
      <c r="A467" s="130"/>
      <c r="B467" s="136"/>
      <c r="N467" s="131"/>
      <c r="O467" s="134"/>
    </row>
    <row r="468" spans="1:15">
      <c r="A468" s="130"/>
      <c r="B468" s="136"/>
      <c r="N468" s="131"/>
      <c r="O468" s="134"/>
    </row>
    <row r="469" spans="1:15">
      <c r="A469" s="130"/>
      <c r="B469" s="136"/>
      <c r="N469" s="131"/>
      <c r="O469" s="134"/>
    </row>
    <row r="470" spans="1:15">
      <c r="A470" s="130"/>
      <c r="B470" s="136"/>
      <c r="N470" s="131"/>
      <c r="O470" s="134"/>
    </row>
    <row r="471" spans="1:15">
      <c r="A471" s="130"/>
      <c r="B471" s="136"/>
      <c r="N471" s="131"/>
      <c r="O471" s="134"/>
    </row>
    <row r="472" spans="1:15">
      <c r="A472" s="130"/>
      <c r="B472" s="136"/>
      <c r="N472" s="131"/>
      <c r="O472" s="134"/>
    </row>
    <row r="473" spans="1:15">
      <c r="A473" s="130"/>
      <c r="B473" s="136"/>
      <c r="N473" s="131"/>
      <c r="O473" s="134"/>
    </row>
    <row r="474" spans="1:15">
      <c r="A474" s="130"/>
      <c r="B474" s="136"/>
      <c r="N474" s="131"/>
      <c r="O474" s="134"/>
    </row>
    <row r="475" spans="1:15">
      <c r="A475" s="130"/>
      <c r="B475" s="136"/>
      <c r="N475" s="131"/>
      <c r="O475" s="134"/>
    </row>
    <row r="476" spans="1:15">
      <c r="A476" s="130"/>
      <c r="B476" s="136"/>
      <c r="N476" s="131"/>
      <c r="O476" s="134"/>
    </row>
    <row r="477" spans="1:15">
      <c r="A477" s="130"/>
      <c r="B477" s="136"/>
      <c r="N477" s="131"/>
      <c r="O477" s="134"/>
    </row>
    <row r="478" spans="1:15">
      <c r="A478" s="130"/>
      <c r="B478" s="136"/>
      <c r="N478" s="131"/>
      <c r="O478" s="134"/>
    </row>
    <row r="479" spans="1:15">
      <c r="A479" s="130"/>
      <c r="B479" s="136"/>
      <c r="N479" s="131"/>
      <c r="O479" s="134"/>
    </row>
    <row r="480" spans="1:15">
      <c r="A480" s="130"/>
      <c r="B480" s="136"/>
      <c r="N480" s="131"/>
      <c r="O480" s="134"/>
    </row>
    <row r="481" spans="1:15">
      <c r="A481" s="130"/>
      <c r="B481" s="136"/>
      <c r="N481" s="131"/>
      <c r="O481" s="134"/>
    </row>
    <row r="482" spans="1:15">
      <c r="A482" s="130"/>
      <c r="B482" s="136"/>
      <c r="N482" s="131"/>
      <c r="O482" s="134"/>
    </row>
    <row r="483" spans="1:15">
      <c r="A483" s="130"/>
      <c r="B483" s="136"/>
      <c r="N483" s="131"/>
      <c r="O483" s="134"/>
    </row>
    <row r="484" spans="1:15">
      <c r="A484" s="130"/>
      <c r="B484" s="136"/>
      <c r="N484" s="131"/>
      <c r="O484" s="134"/>
    </row>
    <row r="485" spans="1:15">
      <c r="A485" s="130"/>
      <c r="B485" s="136"/>
      <c r="N485" s="131"/>
      <c r="O485" s="134"/>
    </row>
    <row r="486" spans="1:15">
      <c r="A486" s="130"/>
      <c r="B486" s="136"/>
      <c r="N486" s="131"/>
      <c r="O486" s="134"/>
    </row>
    <row r="487" spans="1:15">
      <c r="A487" s="130"/>
      <c r="B487" s="136"/>
      <c r="N487" s="131"/>
      <c r="O487" s="134"/>
    </row>
    <row r="488" spans="1:15">
      <c r="A488" s="130"/>
      <c r="B488" s="136"/>
      <c r="N488" s="131"/>
      <c r="O488" s="134"/>
    </row>
    <row r="489" spans="1:15">
      <c r="A489" s="130"/>
      <c r="B489" s="136"/>
      <c r="N489" s="131"/>
      <c r="O489" s="134"/>
    </row>
    <row r="490" spans="1:15">
      <c r="A490" s="130"/>
      <c r="B490" s="136"/>
      <c r="N490" s="131"/>
      <c r="O490" s="134"/>
    </row>
    <row r="491" spans="1:15">
      <c r="A491" s="130"/>
      <c r="B491" s="136"/>
      <c r="N491" s="131"/>
      <c r="O491" s="134"/>
    </row>
    <row r="492" spans="1:15">
      <c r="A492" s="130"/>
      <c r="B492" s="136"/>
      <c r="N492" s="131"/>
      <c r="O492" s="134"/>
    </row>
    <row r="493" spans="1:15">
      <c r="A493" s="130"/>
      <c r="B493" s="136"/>
      <c r="N493" s="131"/>
      <c r="O493" s="134"/>
    </row>
    <row r="494" spans="1:15">
      <c r="A494" s="130"/>
      <c r="B494" s="136"/>
      <c r="N494" s="131"/>
      <c r="O494" s="134"/>
    </row>
    <row r="495" spans="1:15">
      <c r="A495" s="130"/>
      <c r="B495" s="136"/>
      <c r="N495" s="131"/>
      <c r="O495" s="134"/>
    </row>
    <row r="496" spans="1:15">
      <c r="A496" s="130"/>
      <c r="B496" s="136"/>
      <c r="N496" s="131"/>
      <c r="O496" s="134"/>
    </row>
    <row r="497" spans="1:15">
      <c r="A497" s="130"/>
      <c r="B497" s="136"/>
      <c r="N497" s="131"/>
      <c r="O497" s="134"/>
    </row>
    <row r="498" spans="1:15">
      <c r="A498" s="130"/>
      <c r="B498" s="136"/>
      <c r="N498" s="131"/>
      <c r="O498" s="134"/>
    </row>
    <row r="499" spans="1:15">
      <c r="A499" s="130"/>
      <c r="B499" s="136"/>
      <c r="N499" s="131"/>
      <c r="O499" s="134"/>
    </row>
    <row r="500" spans="1:15">
      <c r="A500" s="130"/>
      <c r="B500" s="136"/>
      <c r="N500" s="131"/>
      <c r="O500" s="134"/>
    </row>
    <row r="501" spans="1:15">
      <c r="A501" s="130"/>
      <c r="B501" s="136"/>
      <c r="N501" s="131"/>
      <c r="O501" s="134"/>
    </row>
    <row r="502" spans="1:15">
      <c r="A502" s="130"/>
      <c r="B502" s="136"/>
      <c r="N502" s="131"/>
      <c r="O502" s="134"/>
    </row>
    <row r="503" spans="1:15">
      <c r="A503" s="130"/>
      <c r="B503" s="136"/>
      <c r="N503" s="131"/>
      <c r="O503" s="134"/>
    </row>
    <row r="504" spans="1:15">
      <c r="A504" s="130"/>
      <c r="B504" s="136"/>
      <c r="N504" s="131"/>
      <c r="O504" s="134"/>
    </row>
    <row r="505" spans="1:15">
      <c r="A505" s="130"/>
      <c r="B505" s="136"/>
      <c r="N505" s="131"/>
      <c r="O505" s="134"/>
    </row>
    <row r="506" spans="1:15">
      <c r="A506" s="130"/>
      <c r="B506" s="136"/>
      <c r="N506" s="131"/>
      <c r="O506" s="134"/>
    </row>
    <row r="507" spans="1:15">
      <c r="A507" s="130"/>
      <c r="B507" s="136"/>
      <c r="N507" s="131"/>
      <c r="O507" s="134"/>
    </row>
    <row r="508" spans="1:15">
      <c r="A508" s="130"/>
      <c r="B508" s="136"/>
      <c r="N508" s="131"/>
      <c r="O508" s="134"/>
    </row>
    <row r="509" spans="1:15">
      <c r="A509" s="130"/>
      <c r="B509" s="136"/>
      <c r="N509" s="131"/>
      <c r="O509" s="134"/>
    </row>
    <row r="510" spans="1:15">
      <c r="A510" s="130"/>
      <c r="B510" s="136"/>
      <c r="N510" s="131"/>
      <c r="O510" s="134"/>
    </row>
    <row r="511" spans="1:15">
      <c r="A511" s="130"/>
      <c r="B511" s="136"/>
      <c r="N511" s="131"/>
      <c r="O511" s="134"/>
    </row>
    <row r="512" spans="1:15">
      <c r="A512" s="130"/>
      <c r="B512" s="136"/>
      <c r="N512" s="131"/>
      <c r="O512" s="134"/>
    </row>
    <row r="513" spans="1:15">
      <c r="A513" s="130"/>
      <c r="B513" s="136"/>
      <c r="N513" s="131"/>
      <c r="O513" s="134"/>
    </row>
    <row r="514" spans="1:15">
      <c r="A514" s="130"/>
      <c r="B514" s="136"/>
      <c r="N514" s="131"/>
      <c r="O514" s="134"/>
    </row>
    <row r="515" spans="1:15">
      <c r="A515" s="130"/>
      <c r="B515" s="136"/>
      <c r="N515" s="131"/>
      <c r="O515" s="134"/>
    </row>
    <row r="516" spans="1:15">
      <c r="A516" s="130"/>
      <c r="B516" s="136"/>
      <c r="N516" s="131"/>
      <c r="O516" s="134"/>
    </row>
    <row r="517" spans="1:15">
      <c r="A517" s="130"/>
      <c r="B517" s="136"/>
      <c r="N517" s="131"/>
      <c r="O517" s="134"/>
    </row>
    <row r="518" spans="1:15">
      <c r="A518" s="130"/>
      <c r="B518" s="136"/>
      <c r="N518" s="131"/>
      <c r="O518" s="134"/>
    </row>
    <row r="519" spans="1:15">
      <c r="A519" s="130"/>
      <c r="B519" s="136"/>
      <c r="N519" s="131"/>
      <c r="O519" s="134"/>
    </row>
    <row r="520" spans="1:15">
      <c r="A520" s="130"/>
      <c r="B520" s="136"/>
      <c r="N520" s="131"/>
      <c r="O520" s="134"/>
    </row>
    <row r="521" spans="1:15">
      <c r="A521" s="130"/>
      <c r="B521" s="136"/>
      <c r="N521" s="131"/>
      <c r="O521" s="134"/>
    </row>
    <row r="522" spans="1:15">
      <c r="A522" s="130"/>
      <c r="B522" s="136"/>
      <c r="N522" s="131"/>
      <c r="O522" s="134"/>
    </row>
    <row r="523" spans="1:15">
      <c r="A523" s="130"/>
      <c r="B523" s="136"/>
      <c r="N523" s="131"/>
      <c r="O523" s="134"/>
    </row>
    <row r="524" spans="1:15">
      <c r="A524" s="130"/>
      <c r="B524" s="136"/>
      <c r="N524" s="131"/>
      <c r="O524" s="134"/>
    </row>
    <row r="525" spans="1:15">
      <c r="A525" s="130"/>
      <c r="B525" s="136"/>
      <c r="N525" s="131"/>
      <c r="O525" s="134"/>
    </row>
    <row r="526" spans="1:15">
      <c r="A526" s="130"/>
      <c r="B526" s="136"/>
      <c r="N526" s="131"/>
      <c r="O526" s="134"/>
    </row>
    <row r="527" spans="1:15">
      <c r="A527" s="130"/>
      <c r="B527" s="136"/>
      <c r="N527" s="131"/>
      <c r="O527" s="134"/>
    </row>
    <row r="528" spans="1:15">
      <c r="A528" s="130"/>
      <c r="B528" s="136"/>
      <c r="N528" s="131"/>
      <c r="O528" s="134"/>
    </row>
    <row r="529" spans="1:15">
      <c r="A529" s="130"/>
      <c r="B529" s="136"/>
      <c r="N529" s="131"/>
      <c r="O529" s="134"/>
    </row>
    <row r="530" spans="1:15">
      <c r="A530" s="130"/>
      <c r="B530" s="136"/>
      <c r="N530" s="131"/>
      <c r="O530" s="134"/>
    </row>
    <row r="531" spans="1:15">
      <c r="A531" s="130"/>
      <c r="B531" s="136"/>
      <c r="N531" s="131"/>
      <c r="O531" s="134"/>
    </row>
    <row r="532" spans="1:15">
      <c r="A532" s="130"/>
      <c r="B532" s="136"/>
      <c r="N532" s="131"/>
      <c r="O532" s="134"/>
    </row>
    <row r="533" spans="1:15">
      <c r="A533" s="130"/>
      <c r="B533" s="136"/>
      <c r="N533" s="131"/>
      <c r="O533" s="134"/>
    </row>
    <row r="534" spans="1:15">
      <c r="A534" s="130"/>
      <c r="B534" s="136"/>
      <c r="N534" s="131"/>
      <c r="O534" s="134"/>
    </row>
    <row r="535" spans="1:15">
      <c r="A535" s="130"/>
      <c r="B535" s="136"/>
      <c r="N535" s="131"/>
      <c r="O535" s="134"/>
    </row>
    <row r="536" spans="1:15">
      <c r="A536" s="130"/>
      <c r="B536" s="136"/>
      <c r="N536" s="131"/>
      <c r="O536" s="134"/>
    </row>
    <row r="537" spans="1:15">
      <c r="A537" s="130"/>
      <c r="B537" s="136"/>
      <c r="N537" s="131"/>
      <c r="O537" s="134"/>
    </row>
    <row r="538" spans="1:15">
      <c r="A538" s="130"/>
      <c r="B538" s="136"/>
      <c r="N538" s="131"/>
      <c r="O538" s="134"/>
    </row>
    <row r="539" spans="1:15">
      <c r="A539" s="130"/>
      <c r="B539" s="136"/>
      <c r="N539" s="131"/>
      <c r="O539" s="134"/>
    </row>
    <row r="540" spans="1:15">
      <c r="A540" s="130"/>
      <c r="B540" s="136"/>
      <c r="N540" s="131"/>
      <c r="O540" s="134"/>
    </row>
    <row r="541" spans="1:15">
      <c r="A541" s="130"/>
      <c r="B541" s="136"/>
      <c r="N541" s="131"/>
      <c r="O541" s="134"/>
    </row>
    <row r="542" spans="1:15">
      <c r="A542" s="130"/>
      <c r="B542" s="136"/>
      <c r="N542" s="131"/>
      <c r="O542" s="134"/>
    </row>
    <row r="543" spans="1:15">
      <c r="A543" s="130"/>
      <c r="B543" s="136"/>
      <c r="N543" s="131"/>
      <c r="O543" s="134"/>
    </row>
    <row r="544" spans="1:15">
      <c r="A544" s="130"/>
      <c r="B544" s="136"/>
      <c r="N544" s="131"/>
      <c r="O544" s="134"/>
    </row>
    <row r="545" spans="1:15">
      <c r="A545" s="130"/>
      <c r="B545" s="136"/>
      <c r="N545" s="131"/>
      <c r="O545" s="134"/>
    </row>
    <row r="546" spans="1:15">
      <c r="A546" s="130"/>
      <c r="B546" s="136"/>
      <c r="N546" s="131"/>
      <c r="O546" s="134"/>
    </row>
    <row r="547" spans="1:15">
      <c r="A547" s="130"/>
      <c r="B547" s="136"/>
      <c r="N547" s="131"/>
      <c r="O547" s="134"/>
    </row>
    <row r="548" spans="1:15">
      <c r="A548" s="130"/>
      <c r="B548" s="136"/>
      <c r="N548" s="131"/>
      <c r="O548" s="134"/>
    </row>
    <row r="549" spans="1:15">
      <c r="A549" s="130"/>
      <c r="B549" s="136"/>
      <c r="N549" s="131"/>
      <c r="O549" s="134"/>
    </row>
    <row r="550" spans="1:15">
      <c r="A550" s="130"/>
      <c r="B550" s="136"/>
      <c r="N550" s="131"/>
      <c r="O550" s="134"/>
    </row>
    <row r="551" spans="1:15">
      <c r="A551" s="130"/>
      <c r="B551" s="136"/>
      <c r="N551" s="131"/>
      <c r="O551" s="134"/>
    </row>
    <row r="552" spans="1:15">
      <c r="A552" s="130"/>
      <c r="B552" s="136"/>
      <c r="N552" s="131"/>
      <c r="O552" s="134"/>
    </row>
    <row r="553" spans="1:15">
      <c r="A553" s="130"/>
      <c r="B553" s="136"/>
      <c r="N553" s="131"/>
      <c r="O553" s="134"/>
    </row>
    <row r="554" spans="1:15">
      <c r="A554" s="130"/>
      <c r="B554" s="136"/>
      <c r="N554" s="131"/>
      <c r="O554" s="134"/>
    </row>
    <row r="555" spans="1:15">
      <c r="A555" s="130"/>
      <c r="B555" s="136"/>
      <c r="N555" s="131"/>
      <c r="O555" s="134"/>
    </row>
    <row r="556" spans="1:15">
      <c r="A556" s="130"/>
      <c r="B556" s="136"/>
      <c r="N556" s="131"/>
      <c r="O556" s="134"/>
    </row>
    <row r="557" spans="1:15">
      <c r="A557" s="130"/>
      <c r="B557" s="136"/>
      <c r="N557" s="131"/>
      <c r="O557" s="134"/>
    </row>
    <row r="558" spans="1:15">
      <c r="A558" s="130"/>
      <c r="B558" s="136"/>
      <c r="N558" s="131"/>
      <c r="O558" s="134"/>
    </row>
    <row r="559" spans="1:15">
      <c r="A559" s="130"/>
      <c r="B559" s="136"/>
      <c r="N559" s="131"/>
      <c r="O559" s="134"/>
    </row>
    <row r="560" spans="1:15">
      <c r="A560" s="130"/>
      <c r="B560" s="136"/>
      <c r="N560" s="131"/>
      <c r="O560" s="134"/>
    </row>
    <row r="561" spans="1:15">
      <c r="A561" s="130"/>
      <c r="B561" s="136"/>
      <c r="N561" s="131"/>
      <c r="O561" s="134"/>
    </row>
    <row r="562" spans="1:15">
      <c r="A562" s="130"/>
      <c r="B562" s="136"/>
      <c r="N562" s="131"/>
      <c r="O562" s="134"/>
    </row>
    <row r="563" spans="1:15">
      <c r="A563" s="130"/>
      <c r="B563" s="136"/>
      <c r="N563" s="131"/>
      <c r="O563" s="134"/>
    </row>
    <row r="564" spans="1:15">
      <c r="A564" s="130"/>
      <c r="B564" s="136"/>
      <c r="N564" s="131"/>
      <c r="O564" s="134"/>
    </row>
    <row r="565" spans="1:15">
      <c r="A565" s="130"/>
      <c r="B565" s="136"/>
      <c r="N565" s="131"/>
      <c r="O565" s="134"/>
    </row>
    <row r="566" spans="1:15">
      <c r="A566" s="130"/>
      <c r="B566" s="136"/>
      <c r="N566" s="131"/>
      <c r="O566" s="134"/>
    </row>
    <row r="567" spans="1:15">
      <c r="A567" s="130"/>
      <c r="B567" s="136"/>
      <c r="N567" s="131"/>
      <c r="O567" s="134"/>
    </row>
    <row r="568" spans="1:15">
      <c r="A568" s="130"/>
      <c r="B568" s="136"/>
      <c r="N568" s="131"/>
      <c r="O568" s="134"/>
    </row>
    <row r="569" spans="1:15">
      <c r="A569" s="130"/>
      <c r="B569" s="136"/>
      <c r="N569" s="131"/>
      <c r="O569" s="134"/>
    </row>
    <row r="570" spans="1:15">
      <c r="A570" s="130"/>
      <c r="B570" s="136"/>
      <c r="N570" s="131"/>
      <c r="O570" s="134"/>
    </row>
    <row r="571" spans="1:15">
      <c r="A571" s="130"/>
      <c r="B571" s="136"/>
      <c r="N571" s="131"/>
      <c r="O571" s="134"/>
    </row>
    <row r="572" spans="1:15">
      <c r="A572" s="130"/>
      <c r="B572" s="136"/>
      <c r="N572" s="131"/>
      <c r="O572" s="134"/>
    </row>
    <row r="573" spans="1:15">
      <c r="A573" s="130"/>
      <c r="B573" s="136"/>
      <c r="N573" s="131"/>
      <c r="O573" s="134"/>
    </row>
    <row r="574" spans="1:15">
      <c r="A574" s="130"/>
      <c r="B574" s="136"/>
      <c r="N574" s="131"/>
      <c r="O574" s="134"/>
    </row>
    <row r="575" spans="1:15">
      <c r="A575" s="130"/>
      <c r="B575" s="136"/>
      <c r="N575" s="131"/>
      <c r="O575" s="134"/>
    </row>
    <row r="576" spans="1:15">
      <c r="A576" s="130"/>
      <c r="B576" s="136"/>
      <c r="N576" s="131"/>
      <c r="O576" s="134"/>
    </row>
    <row r="577" spans="1:15">
      <c r="A577" s="130"/>
      <c r="B577" s="136"/>
      <c r="N577" s="131"/>
      <c r="O577" s="134"/>
    </row>
    <row r="578" spans="1:15">
      <c r="A578" s="130"/>
      <c r="B578" s="136"/>
      <c r="N578" s="131"/>
      <c r="O578" s="134"/>
    </row>
    <row r="579" spans="1:15">
      <c r="A579" s="130"/>
      <c r="B579" s="136"/>
      <c r="N579" s="131"/>
      <c r="O579" s="134"/>
    </row>
    <row r="580" spans="1:15">
      <c r="A580" s="130"/>
      <c r="B580" s="136"/>
      <c r="N580" s="131"/>
      <c r="O580" s="134"/>
    </row>
    <row r="581" spans="1:15">
      <c r="A581" s="130"/>
      <c r="B581" s="136"/>
      <c r="N581" s="131"/>
      <c r="O581" s="134"/>
    </row>
    <row r="582" spans="1:15">
      <c r="A582" s="130"/>
      <c r="B582" s="136"/>
      <c r="N582" s="131"/>
      <c r="O582" s="134"/>
    </row>
    <row r="583" spans="1:15">
      <c r="A583" s="130"/>
      <c r="B583" s="136"/>
      <c r="N583" s="131"/>
      <c r="O583" s="134"/>
    </row>
    <row r="584" spans="1:15">
      <c r="A584" s="130"/>
      <c r="B584" s="136"/>
      <c r="N584" s="131"/>
      <c r="O584" s="134"/>
    </row>
    <row r="585" spans="1:15">
      <c r="A585" s="130"/>
      <c r="B585" s="136"/>
      <c r="N585" s="131"/>
      <c r="O585" s="134"/>
    </row>
    <row r="586" spans="1:15">
      <c r="A586" s="130"/>
      <c r="B586" s="136"/>
      <c r="N586" s="131"/>
      <c r="O586" s="134"/>
    </row>
    <row r="587" spans="1:15">
      <c r="A587" s="130"/>
      <c r="B587" s="136"/>
      <c r="N587" s="131"/>
      <c r="O587" s="134"/>
    </row>
    <row r="588" spans="1:15">
      <c r="A588" s="130"/>
      <c r="B588" s="136"/>
      <c r="N588" s="131"/>
      <c r="O588" s="134"/>
    </row>
    <row r="589" spans="1:15">
      <c r="A589" s="130"/>
      <c r="B589" s="136"/>
      <c r="N589" s="131"/>
      <c r="O589" s="134"/>
    </row>
    <row r="590" spans="1:15">
      <c r="A590" s="130"/>
      <c r="B590" s="136"/>
      <c r="N590" s="131"/>
      <c r="O590" s="134"/>
    </row>
    <row r="591" spans="1:15">
      <c r="A591" s="130"/>
      <c r="B591" s="136"/>
      <c r="N591" s="131"/>
      <c r="O591" s="134"/>
    </row>
    <row r="592" spans="1:15">
      <c r="A592" s="130"/>
      <c r="B592" s="136"/>
      <c r="N592" s="131"/>
      <c r="O592" s="134"/>
    </row>
    <row r="593" spans="1:15">
      <c r="A593" s="130"/>
      <c r="B593" s="136"/>
      <c r="N593" s="131"/>
      <c r="O593" s="134"/>
    </row>
    <row r="594" spans="1:15">
      <c r="A594" s="130"/>
      <c r="B594" s="136"/>
      <c r="N594" s="131"/>
      <c r="O594" s="134"/>
    </row>
    <row r="595" spans="1:15">
      <c r="A595" s="130"/>
      <c r="B595" s="136"/>
      <c r="N595" s="131"/>
      <c r="O595" s="134"/>
    </row>
    <row r="596" spans="1:15">
      <c r="A596" s="130"/>
      <c r="B596" s="136"/>
      <c r="N596" s="131"/>
      <c r="O596" s="134"/>
    </row>
    <row r="597" spans="1:15">
      <c r="A597" s="130"/>
      <c r="B597" s="136"/>
      <c r="N597" s="131"/>
      <c r="O597" s="134"/>
    </row>
    <row r="598" spans="1:15">
      <c r="A598" s="130"/>
      <c r="B598" s="136"/>
      <c r="N598" s="131"/>
      <c r="O598" s="134"/>
    </row>
    <row r="599" spans="1:15">
      <c r="A599" s="130"/>
      <c r="B599" s="136"/>
      <c r="N599" s="131"/>
      <c r="O599" s="134"/>
    </row>
    <row r="600" spans="1:15">
      <c r="A600" s="130"/>
      <c r="B600" s="136"/>
      <c r="N600" s="131"/>
      <c r="O600" s="134"/>
    </row>
    <row r="601" spans="1:15">
      <c r="A601" s="130"/>
      <c r="B601" s="136"/>
      <c r="N601" s="131"/>
      <c r="O601" s="134"/>
    </row>
    <row r="602" spans="1:15">
      <c r="A602" s="130"/>
      <c r="B602" s="136"/>
      <c r="N602" s="131"/>
      <c r="O602" s="134"/>
    </row>
    <row r="603" spans="1:15">
      <c r="A603" s="130"/>
      <c r="B603" s="136"/>
      <c r="N603" s="131"/>
      <c r="O603" s="134"/>
    </row>
    <row r="604" spans="1:15">
      <c r="A604" s="130"/>
      <c r="B604" s="136"/>
      <c r="N604" s="131"/>
      <c r="O604" s="134"/>
    </row>
    <row r="605" spans="1:15">
      <c r="A605" s="130"/>
      <c r="B605" s="136"/>
      <c r="N605" s="131"/>
      <c r="O605" s="134"/>
    </row>
    <row r="606" spans="1:15">
      <c r="A606" s="130"/>
      <c r="B606" s="136"/>
      <c r="N606" s="131"/>
      <c r="O606" s="134"/>
    </row>
    <row r="607" spans="1:15">
      <c r="A607" s="130"/>
      <c r="B607" s="136"/>
      <c r="N607" s="131"/>
      <c r="O607" s="134"/>
    </row>
    <row r="608" spans="1:15">
      <c r="A608" s="130"/>
      <c r="B608" s="136"/>
      <c r="N608" s="131"/>
      <c r="O608" s="134"/>
    </row>
    <row r="609" spans="1:15">
      <c r="A609" s="130"/>
      <c r="B609" s="136"/>
      <c r="N609" s="131"/>
      <c r="O609" s="134"/>
    </row>
    <row r="610" spans="1:15">
      <c r="A610" s="130"/>
      <c r="B610" s="136"/>
      <c r="N610" s="131"/>
      <c r="O610" s="134"/>
    </row>
    <row r="611" spans="1:15">
      <c r="A611" s="130"/>
      <c r="B611" s="136"/>
      <c r="N611" s="131"/>
      <c r="O611" s="134"/>
    </row>
    <row r="612" spans="1:15">
      <c r="A612" s="130"/>
      <c r="B612" s="136"/>
      <c r="N612" s="131"/>
      <c r="O612" s="134"/>
    </row>
    <row r="613" spans="1:15">
      <c r="A613" s="130"/>
      <c r="B613" s="136"/>
      <c r="N613" s="131"/>
      <c r="O613" s="134"/>
    </row>
    <row r="614" spans="1:15">
      <c r="A614" s="130"/>
      <c r="B614" s="136"/>
      <c r="N614" s="131"/>
      <c r="O614" s="134"/>
    </row>
    <row r="615" spans="1:15">
      <c r="A615" s="130"/>
      <c r="B615" s="136"/>
      <c r="N615" s="131"/>
      <c r="O615" s="134"/>
    </row>
    <row r="616" spans="1:15">
      <c r="A616" s="130"/>
      <c r="B616" s="136"/>
      <c r="N616" s="131"/>
      <c r="O616" s="134"/>
    </row>
    <row r="617" spans="1:15">
      <c r="A617" s="130"/>
      <c r="B617" s="136"/>
      <c r="N617" s="131"/>
      <c r="O617" s="134"/>
    </row>
    <row r="618" spans="1:15">
      <c r="A618" s="130"/>
      <c r="B618" s="136"/>
      <c r="N618" s="131"/>
      <c r="O618" s="134"/>
    </row>
    <row r="619" spans="1:15">
      <c r="A619" s="130"/>
      <c r="B619" s="136"/>
      <c r="N619" s="131"/>
      <c r="O619" s="134"/>
    </row>
    <row r="620" spans="1:15">
      <c r="A620" s="130"/>
      <c r="B620" s="136"/>
      <c r="N620" s="131"/>
      <c r="O620" s="134"/>
    </row>
    <row r="621" spans="1:15">
      <c r="A621" s="130"/>
      <c r="B621" s="136"/>
      <c r="N621" s="131"/>
      <c r="O621" s="134"/>
    </row>
    <row r="622" spans="1:15">
      <c r="A622" s="130"/>
      <c r="B622" s="136"/>
      <c r="N622" s="131"/>
      <c r="O622" s="134"/>
    </row>
    <row r="623" spans="1:15">
      <c r="A623" s="130"/>
      <c r="B623" s="136"/>
      <c r="N623" s="131"/>
      <c r="O623" s="134"/>
    </row>
    <row r="624" spans="1:15">
      <c r="A624" s="130"/>
      <c r="B624" s="136"/>
      <c r="N624" s="131"/>
      <c r="O624" s="134"/>
    </row>
    <row r="625" spans="1:15">
      <c r="A625" s="130"/>
      <c r="B625" s="136"/>
      <c r="N625" s="131"/>
      <c r="O625" s="134"/>
    </row>
    <row r="626" spans="1:15">
      <c r="A626" s="130"/>
      <c r="B626" s="136"/>
      <c r="N626" s="131"/>
      <c r="O626" s="134"/>
    </row>
    <row r="627" spans="1:15">
      <c r="A627" s="130"/>
      <c r="B627" s="136"/>
      <c r="N627" s="131"/>
      <c r="O627" s="134"/>
    </row>
    <row r="628" spans="1:15">
      <c r="A628" s="130"/>
      <c r="B628" s="136"/>
      <c r="N628" s="131"/>
      <c r="O628" s="134"/>
    </row>
    <row r="629" spans="1:15">
      <c r="A629" s="130"/>
      <c r="B629" s="136"/>
      <c r="N629" s="131"/>
      <c r="O629" s="134"/>
    </row>
    <row r="630" spans="1:15">
      <c r="A630" s="130"/>
      <c r="B630" s="136"/>
      <c r="N630" s="131"/>
      <c r="O630" s="134"/>
    </row>
    <row r="631" spans="1:15">
      <c r="A631" s="130"/>
      <c r="B631" s="136"/>
      <c r="N631" s="131"/>
      <c r="O631" s="134"/>
    </row>
    <row r="632" spans="1:15">
      <c r="A632" s="130"/>
      <c r="B632" s="136"/>
      <c r="N632" s="131"/>
      <c r="O632" s="134"/>
    </row>
    <row r="633" spans="1:15">
      <c r="A633" s="130"/>
      <c r="B633" s="136"/>
      <c r="N633" s="131"/>
      <c r="O633" s="134"/>
    </row>
    <row r="634" spans="1:15">
      <c r="A634" s="130"/>
      <c r="B634" s="136"/>
      <c r="N634" s="131"/>
      <c r="O634" s="134"/>
    </row>
    <row r="635" spans="1:15">
      <c r="A635" s="130"/>
      <c r="B635" s="136"/>
      <c r="N635" s="131"/>
      <c r="O635" s="134"/>
    </row>
    <row r="636" spans="1:15">
      <c r="A636" s="130"/>
      <c r="B636" s="136"/>
      <c r="N636" s="131"/>
      <c r="O636" s="134"/>
    </row>
    <row r="637" spans="1:15">
      <c r="A637" s="130"/>
      <c r="B637" s="136"/>
      <c r="N637" s="131"/>
      <c r="O637" s="134"/>
    </row>
    <row r="638" spans="1:15">
      <c r="A638" s="130"/>
      <c r="B638" s="136"/>
      <c r="N638" s="131"/>
      <c r="O638" s="134"/>
    </row>
    <row r="639" spans="1:15">
      <c r="A639" s="130"/>
      <c r="B639" s="136"/>
      <c r="N639" s="131"/>
      <c r="O639" s="134"/>
    </row>
    <row r="640" spans="1:15">
      <c r="A640" s="130"/>
      <c r="B640" s="136"/>
      <c r="N640" s="131"/>
      <c r="O640" s="134"/>
    </row>
    <row r="641" spans="1:15">
      <c r="A641" s="130"/>
      <c r="B641" s="136"/>
      <c r="N641" s="131"/>
      <c r="O641" s="134"/>
    </row>
    <row r="642" spans="1:15">
      <c r="A642" s="130"/>
      <c r="B642" s="136"/>
      <c r="N642" s="131"/>
      <c r="O642" s="134"/>
    </row>
    <row r="643" spans="1:15">
      <c r="A643" s="130"/>
      <c r="B643" s="136"/>
      <c r="N643" s="131"/>
      <c r="O643" s="134"/>
    </row>
    <row r="644" spans="1:15">
      <c r="A644" s="130"/>
      <c r="B644" s="136"/>
      <c r="N644" s="131"/>
      <c r="O644" s="134"/>
    </row>
    <row r="645" spans="1:15">
      <c r="A645" s="130"/>
      <c r="B645" s="136"/>
      <c r="N645" s="131"/>
      <c r="O645" s="134"/>
    </row>
    <row r="646" spans="1:15">
      <c r="A646" s="130"/>
      <c r="B646" s="136"/>
      <c r="N646" s="131"/>
      <c r="O646" s="134"/>
    </row>
    <row r="647" spans="1:15">
      <c r="A647" s="130"/>
      <c r="B647" s="136"/>
      <c r="N647" s="131"/>
      <c r="O647" s="134"/>
    </row>
    <row r="648" spans="1:15">
      <c r="A648" s="130"/>
      <c r="B648" s="136"/>
      <c r="N648" s="131"/>
      <c r="O648" s="134"/>
    </row>
    <row r="649" spans="1:15">
      <c r="A649" s="130"/>
      <c r="B649" s="136"/>
      <c r="N649" s="131"/>
      <c r="O649" s="134"/>
    </row>
    <row r="650" spans="1:15">
      <c r="A650" s="130"/>
      <c r="B650" s="136"/>
      <c r="N650" s="131"/>
      <c r="O650" s="134"/>
    </row>
    <row r="651" spans="1:15">
      <c r="A651" s="130"/>
      <c r="B651" s="136"/>
      <c r="N651" s="131"/>
      <c r="O651" s="134"/>
    </row>
    <row r="652" spans="1:15">
      <c r="A652" s="130"/>
      <c r="B652" s="136"/>
      <c r="N652" s="131"/>
      <c r="O652" s="134"/>
    </row>
    <row r="653" spans="1:15">
      <c r="A653" s="130"/>
      <c r="B653" s="136"/>
      <c r="N653" s="131"/>
      <c r="O653" s="134"/>
    </row>
    <row r="654" spans="1:15">
      <c r="A654" s="130"/>
      <c r="B654" s="136"/>
      <c r="N654" s="131"/>
      <c r="O654" s="134"/>
    </row>
    <row r="655" spans="1:15">
      <c r="A655" s="130"/>
      <c r="B655" s="136"/>
      <c r="N655" s="131"/>
      <c r="O655" s="134"/>
    </row>
    <row r="656" spans="1:15">
      <c r="A656" s="130"/>
      <c r="B656" s="136"/>
      <c r="N656" s="131"/>
      <c r="O656" s="134"/>
    </row>
    <row r="657" spans="1:15">
      <c r="A657" s="130"/>
      <c r="B657" s="136"/>
      <c r="N657" s="131"/>
      <c r="O657" s="134"/>
    </row>
    <row r="658" spans="1:15">
      <c r="A658" s="130"/>
      <c r="B658" s="136"/>
      <c r="N658" s="131"/>
      <c r="O658" s="134"/>
    </row>
    <row r="659" spans="1:15">
      <c r="A659" s="130"/>
      <c r="B659" s="136"/>
      <c r="N659" s="131"/>
      <c r="O659" s="134"/>
    </row>
    <row r="660" spans="1:15">
      <c r="A660" s="130"/>
      <c r="B660" s="136"/>
      <c r="N660" s="131"/>
      <c r="O660" s="134"/>
    </row>
    <row r="661" spans="1:15">
      <c r="A661" s="130"/>
      <c r="B661" s="136"/>
      <c r="N661" s="131"/>
      <c r="O661" s="134"/>
    </row>
    <row r="662" spans="1:15">
      <c r="A662" s="130"/>
      <c r="B662" s="136"/>
      <c r="N662" s="131"/>
      <c r="O662" s="134"/>
    </row>
    <row r="663" spans="1:15">
      <c r="A663" s="130"/>
      <c r="B663" s="136"/>
      <c r="N663" s="131"/>
      <c r="O663" s="134"/>
    </row>
    <row r="664" spans="1:15">
      <c r="A664" s="130"/>
      <c r="B664" s="136"/>
      <c r="N664" s="131"/>
      <c r="O664" s="134"/>
    </row>
    <row r="665" spans="1:15">
      <c r="A665" s="130"/>
      <c r="B665" s="136"/>
      <c r="N665" s="131"/>
      <c r="O665" s="134"/>
    </row>
    <row r="666" spans="1:15">
      <c r="A666" s="130"/>
      <c r="B666" s="136"/>
      <c r="N666" s="131"/>
      <c r="O666" s="134"/>
    </row>
    <row r="667" spans="1:15">
      <c r="A667" s="130"/>
      <c r="B667" s="136"/>
      <c r="N667" s="131"/>
      <c r="O667" s="134"/>
    </row>
    <row r="668" spans="1:15">
      <c r="A668" s="130"/>
      <c r="B668" s="136"/>
      <c r="N668" s="131"/>
      <c r="O668" s="134"/>
    </row>
    <row r="669" spans="1:15">
      <c r="A669" s="130"/>
      <c r="B669" s="136"/>
      <c r="N669" s="131"/>
      <c r="O669" s="134"/>
    </row>
    <row r="670" spans="1:15">
      <c r="A670" s="130"/>
      <c r="B670" s="136"/>
      <c r="N670" s="131"/>
      <c r="O670" s="134"/>
    </row>
    <row r="671" spans="1:15">
      <c r="A671" s="130"/>
      <c r="B671" s="136"/>
      <c r="N671" s="131"/>
      <c r="O671" s="134"/>
    </row>
    <row r="672" spans="1:15">
      <c r="A672" s="130"/>
      <c r="B672" s="136"/>
      <c r="N672" s="131"/>
      <c r="O672" s="134"/>
    </row>
    <row r="673" spans="1:15">
      <c r="A673" s="130"/>
      <c r="B673" s="136"/>
      <c r="N673" s="131"/>
      <c r="O673" s="134"/>
    </row>
    <row r="674" spans="1:15">
      <c r="A674" s="130"/>
      <c r="B674" s="136"/>
      <c r="N674" s="131"/>
      <c r="O674" s="134"/>
    </row>
    <row r="675" spans="1:15">
      <c r="A675" s="130"/>
      <c r="B675" s="136"/>
      <c r="N675" s="131"/>
      <c r="O675" s="134"/>
    </row>
    <row r="676" spans="1:15">
      <c r="A676" s="130"/>
      <c r="B676" s="136"/>
      <c r="N676" s="131"/>
      <c r="O676" s="134"/>
    </row>
    <row r="677" spans="1:15">
      <c r="A677" s="130"/>
      <c r="B677" s="136"/>
      <c r="N677" s="131"/>
      <c r="O677" s="134"/>
    </row>
    <row r="678" spans="1:15">
      <c r="A678" s="130"/>
      <c r="B678" s="136"/>
      <c r="N678" s="131"/>
      <c r="O678" s="134"/>
    </row>
    <row r="679" spans="1:15">
      <c r="A679" s="130"/>
      <c r="B679" s="136"/>
      <c r="N679" s="131"/>
      <c r="O679" s="134"/>
    </row>
    <row r="680" spans="1:15">
      <c r="A680" s="130"/>
      <c r="B680" s="136"/>
      <c r="N680" s="131"/>
      <c r="O680" s="134"/>
    </row>
    <row r="681" spans="1:15">
      <c r="A681" s="130"/>
      <c r="B681" s="136"/>
      <c r="N681" s="131"/>
      <c r="O681" s="134"/>
    </row>
    <row r="682" spans="1:15">
      <c r="A682" s="130"/>
      <c r="B682" s="136"/>
      <c r="N682" s="131"/>
      <c r="O682" s="134"/>
    </row>
    <row r="683" spans="1:15">
      <c r="A683" s="130"/>
      <c r="B683" s="136"/>
      <c r="N683" s="131"/>
      <c r="O683" s="134"/>
    </row>
    <row r="684" spans="1:15">
      <c r="A684" s="130"/>
      <c r="B684" s="136"/>
      <c r="N684" s="131"/>
      <c r="O684" s="134"/>
    </row>
    <row r="685" spans="1:15">
      <c r="A685" s="130"/>
      <c r="B685" s="136"/>
      <c r="N685" s="131"/>
      <c r="O685" s="134"/>
    </row>
    <row r="686" spans="1:15">
      <c r="A686" s="130"/>
      <c r="B686" s="136"/>
      <c r="N686" s="131"/>
      <c r="O686" s="134"/>
    </row>
    <row r="687" spans="1:15">
      <c r="A687" s="130"/>
      <c r="B687" s="136"/>
      <c r="N687" s="131"/>
      <c r="O687" s="134"/>
    </row>
    <row r="688" spans="1:15">
      <c r="A688" s="130"/>
      <c r="B688" s="136"/>
      <c r="N688" s="131"/>
      <c r="O688" s="134"/>
    </row>
    <row r="689" spans="1:15">
      <c r="A689" s="130"/>
      <c r="B689" s="136"/>
      <c r="N689" s="131"/>
      <c r="O689" s="134"/>
    </row>
    <row r="690" spans="1:15">
      <c r="A690" s="130"/>
      <c r="B690" s="136"/>
      <c r="N690" s="131"/>
      <c r="O690" s="134"/>
    </row>
    <row r="691" spans="1:15">
      <c r="A691" s="130"/>
      <c r="B691" s="136"/>
      <c r="N691" s="131"/>
      <c r="O691" s="134"/>
    </row>
    <row r="692" spans="1:15">
      <c r="A692" s="130"/>
      <c r="B692" s="136"/>
      <c r="N692" s="131"/>
      <c r="O692" s="134"/>
    </row>
    <row r="693" spans="1:15">
      <c r="A693" s="130"/>
      <c r="B693" s="136"/>
      <c r="N693" s="131"/>
      <c r="O693" s="134"/>
    </row>
    <row r="694" spans="1:15">
      <c r="A694" s="130"/>
      <c r="B694" s="136"/>
      <c r="N694" s="131"/>
      <c r="O694" s="134"/>
    </row>
    <row r="695" spans="1:15">
      <c r="A695" s="130"/>
      <c r="B695" s="136"/>
      <c r="N695" s="131"/>
      <c r="O695" s="134"/>
    </row>
    <row r="696" spans="1:15">
      <c r="A696" s="130"/>
      <c r="B696" s="136"/>
      <c r="N696" s="131"/>
      <c r="O696" s="134"/>
    </row>
    <row r="697" spans="1:15">
      <c r="A697" s="130"/>
      <c r="B697" s="136"/>
      <c r="N697" s="131"/>
      <c r="O697" s="134"/>
    </row>
    <row r="698" spans="1:15">
      <c r="A698" s="130"/>
      <c r="B698" s="136"/>
      <c r="N698" s="131"/>
      <c r="O698" s="134"/>
    </row>
    <row r="699" spans="1:15">
      <c r="A699" s="130"/>
      <c r="B699" s="136"/>
      <c r="N699" s="131"/>
      <c r="O699" s="134"/>
    </row>
    <row r="700" spans="1:15">
      <c r="A700" s="130"/>
      <c r="B700" s="136"/>
      <c r="N700" s="131"/>
      <c r="O700" s="134"/>
    </row>
    <row r="701" spans="1:15">
      <c r="A701" s="130"/>
      <c r="B701" s="136"/>
      <c r="N701" s="131"/>
      <c r="O701" s="134"/>
    </row>
    <row r="702" spans="1:15">
      <c r="A702" s="130"/>
      <c r="B702" s="136"/>
      <c r="N702" s="131"/>
      <c r="O702" s="134"/>
    </row>
    <row r="703" spans="1:15">
      <c r="A703" s="130"/>
      <c r="B703" s="136"/>
      <c r="N703" s="131"/>
      <c r="O703" s="134"/>
    </row>
    <row r="704" spans="1:15">
      <c r="A704" s="130"/>
      <c r="B704" s="136"/>
      <c r="N704" s="131"/>
      <c r="O704" s="134"/>
    </row>
    <row r="705" spans="1:15">
      <c r="A705" s="130"/>
      <c r="B705" s="136"/>
      <c r="N705" s="131"/>
      <c r="O705" s="134"/>
    </row>
    <row r="706" spans="1:15">
      <c r="A706" s="130"/>
      <c r="B706" s="136"/>
      <c r="N706" s="131"/>
      <c r="O706" s="134"/>
    </row>
    <row r="707" spans="1:15">
      <c r="A707" s="130"/>
      <c r="B707" s="136"/>
      <c r="N707" s="131"/>
      <c r="O707" s="134"/>
    </row>
    <row r="708" spans="1:15">
      <c r="A708" s="130"/>
      <c r="B708" s="136"/>
      <c r="N708" s="131"/>
      <c r="O708" s="134"/>
    </row>
    <row r="709" spans="1:15">
      <c r="A709" s="130"/>
      <c r="B709" s="136"/>
      <c r="N709" s="131"/>
      <c r="O709" s="134"/>
    </row>
    <row r="710" spans="1:15">
      <c r="A710" s="130"/>
      <c r="B710" s="136"/>
      <c r="N710" s="131"/>
      <c r="O710" s="134"/>
    </row>
    <row r="711" spans="1:15">
      <c r="A711" s="130"/>
      <c r="B711" s="136"/>
      <c r="N711" s="131"/>
      <c r="O711" s="134"/>
    </row>
    <row r="712" spans="1:15">
      <c r="A712" s="130"/>
      <c r="B712" s="136"/>
      <c r="N712" s="131"/>
      <c r="O712" s="134"/>
    </row>
    <row r="713" spans="1:15">
      <c r="A713" s="130"/>
      <c r="B713" s="136"/>
      <c r="N713" s="131"/>
      <c r="O713" s="134"/>
    </row>
    <row r="714" spans="1:15">
      <c r="A714" s="130"/>
      <c r="B714" s="136"/>
      <c r="N714" s="131"/>
      <c r="O714" s="134"/>
    </row>
    <row r="715" spans="1:15">
      <c r="A715" s="130"/>
      <c r="B715" s="136"/>
      <c r="N715" s="131"/>
      <c r="O715" s="134"/>
    </row>
    <row r="716" spans="1:15">
      <c r="A716" s="130"/>
      <c r="B716" s="136"/>
      <c r="N716" s="131"/>
      <c r="O716" s="134"/>
    </row>
    <row r="717" spans="1:15">
      <c r="A717" s="130"/>
      <c r="B717" s="136"/>
      <c r="N717" s="131"/>
      <c r="O717" s="134"/>
    </row>
    <row r="718" spans="1:15">
      <c r="A718" s="130"/>
      <c r="B718" s="136"/>
      <c r="N718" s="131"/>
      <c r="O718" s="134"/>
    </row>
    <row r="719" spans="1:15">
      <c r="A719" s="130"/>
      <c r="B719" s="136"/>
      <c r="N719" s="131"/>
      <c r="O719" s="134"/>
    </row>
    <row r="720" spans="1:15">
      <c r="A720" s="130"/>
      <c r="B720" s="136"/>
      <c r="N720" s="131"/>
      <c r="O720" s="134"/>
    </row>
    <row r="721" spans="1:15">
      <c r="A721" s="130"/>
      <c r="B721" s="136"/>
      <c r="N721" s="131"/>
      <c r="O721" s="134"/>
    </row>
    <row r="722" spans="1:15">
      <c r="A722" s="130"/>
      <c r="B722" s="136"/>
      <c r="N722" s="131"/>
      <c r="O722" s="134"/>
    </row>
    <row r="723" spans="1:15">
      <c r="A723" s="130"/>
      <c r="B723" s="136"/>
      <c r="N723" s="131"/>
      <c r="O723" s="134"/>
    </row>
    <row r="724" spans="1:15">
      <c r="A724" s="130"/>
      <c r="B724" s="136"/>
      <c r="N724" s="131"/>
      <c r="O724" s="134"/>
    </row>
    <row r="725" spans="1:15">
      <c r="A725" s="130"/>
      <c r="B725" s="136"/>
      <c r="N725" s="131"/>
      <c r="O725" s="134"/>
    </row>
    <row r="726" spans="1:15">
      <c r="A726" s="130"/>
      <c r="B726" s="136"/>
      <c r="N726" s="131"/>
      <c r="O726" s="134"/>
    </row>
    <row r="727" spans="1:15">
      <c r="A727" s="130"/>
      <c r="B727" s="136"/>
      <c r="N727" s="131"/>
      <c r="O727" s="134"/>
    </row>
    <row r="728" spans="1:15">
      <c r="A728" s="130"/>
      <c r="B728" s="136"/>
      <c r="N728" s="131"/>
      <c r="O728" s="134"/>
    </row>
    <row r="729" spans="1:15">
      <c r="A729" s="130"/>
      <c r="B729" s="136"/>
      <c r="N729" s="131"/>
      <c r="O729" s="134"/>
    </row>
    <row r="730" spans="1:15">
      <c r="A730" s="130"/>
      <c r="B730" s="136"/>
      <c r="N730" s="131"/>
      <c r="O730" s="134"/>
    </row>
    <row r="731" spans="1:15">
      <c r="A731" s="130"/>
      <c r="B731" s="136"/>
      <c r="N731" s="131"/>
      <c r="O731" s="134"/>
    </row>
    <row r="732" spans="1:15">
      <c r="A732" s="130"/>
      <c r="B732" s="136"/>
      <c r="N732" s="131"/>
      <c r="O732" s="134"/>
    </row>
    <row r="733" spans="1:15">
      <c r="A733" s="130"/>
      <c r="B733" s="136"/>
      <c r="N733" s="131"/>
      <c r="O733" s="134"/>
    </row>
    <row r="734" spans="1:15">
      <c r="A734" s="130"/>
      <c r="B734" s="136"/>
      <c r="N734" s="131"/>
      <c r="O734" s="134"/>
    </row>
    <row r="735" spans="1:15">
      <c r="A735" s="130"/>
      <c r="B735" s="136"/>
      <c r="N735" s="131"/>
      <c r="O735" s="134"/>
    </row>
    <row r="736" spans="1:15">
      <c r="A736" s="130"/>
      <c r="B736" s="136"/>
      <c r="N736" s="131"/>
      <c r="O736" s="134"/>
    </row>
    <row r="737" spans="1:15">
      <c r="A737" s="130"/>
      <c r="B737" s="136"/>
      <c r="N737" s="131"/>
      <c r="O737" s="134"/>
    </row>
    <row r="738" spans="1:15">
      <c r="A738" s="130"/>
      <c r="B738" s="136"/>
      <c r="N738" s="131"/>
      <c r="O738" s="134"/>
    </row>
    <row r="739" spans="1:15">
      <c r="A739" s="130"/>
      <c r="B739" s="136"/>
      <c r="N739" s="131"/>
      <c r="O739" s="134"/>
    </row>
    <row r="740" spans="1:15">
      <c r="A740" s="130"/>
      <c r="B740" s="136"/>
      <c r="N740" s="131"/>
      <c r="O740" s="134"/>
    </row>
    <row r="741" spans="1:15">
      <c r="A741" s="130"/>
      <c r="B741" s="136"/>
      <c r="N741" s="131"/>
      <c r="O741" s="134"/>
    </row>
    <row r="742" spans="1:15">
      <c r="A742" s="130"/>
      <c r="B742" s="136"/>
      <c r="N742" s="131"/>
      <c r="O742" s="134"/>
    </row>
    <row r="743" spans="1:15">
      <c r="A743" s="130"/>
      <c r="B743" s="136"/>
      <c r="N743" s="131"/>
      <c r="O743" s="134"/>
    </row>
    <row r="744" spans="1:15">
      <c r="A744" s="130"/>
      <c r="B744" s="136"/>
      <c r="N744" s="131"/>
      <c r="O744" s="134"/>
    </row>
    <row r="745" spans="1:15">
      <c r="A745" s="130"/>
      <c r="B745" s="136"/>
      <c r="N745" s="131"/>
      <c r="O745" s="134"/>
    </row>
    <row r="746" spans="1:15">
      <c r="A746" s="130"/>
      <c r="B746" s="136"/>
      <c r="N746" s="131"/>
      <c r="O746" s="134"/>
    </row>
    <row r="747" spans="1:15">
      <c r="A747" s="130"/>
      <c r="B747" s="136"/>
      <c r="N747" s="131"/>
      <c r="O747" s="134"/>
    </row>
    <row r="748" spans="1:15">
      <c r="A748" s="130"/>
      <c r="B748" s="136"/>
      <c r="N748" s="131"/>
      <c r="O748" s="134"/>
    </row>
    <row r="749" spans="1:15">
      <c r="A749" s="130"/>
      <c r="B749" s="136"/>
      <c r="N749" s="131"/>
      <c r="O749" s="134"/>
    </row>
    <row r="750" spans="1:15">
      <c r="A750" s="130"/>
      <c r="B750" s="136"/>
      <c r="N750" s="131"/>
      <c r="O750" s="134"/>
    </row>
    <row r="751" spans="1:15">
      <c r="A751" s="130"/>
      <c r="B751" s="136"/>
      <c r="N751" s="131"/>
      <c r="O751" s="134"/>
    </row>
    <row r="752" spans="1:15">
      <c r="A752" s="130"/>
      <c r="B752" s="136"/>
      <c r="N752" s="131"/>
      <c r="O752" s="134"/>
    </row>
    <row r="753" spans="1:15">
      <c r="A753" s="130"/>
      <c r="B753" s="136"/>
      <c r="N753" s="131"/>
      <c r="O753" s="134"/>
    </row>
    <row r="754" spans="1:15">
      <c r="A754" s="130"/>
      <c r="B754" s="136"/>
      <c r="N754" s="131"/>
      <c r="O754" s="134"/>
    </row>
    <row r="755" spans="1:15">
      <c r="A755" s="130"/>
      <c r="B755" s="136"/>
      <c r="N755" s="131"/>
      <c r="O755" s="134"/>
    </row>
    <row r="756" spans="1:15">
      <c r="A756" s="130"/>
      <c r="B756" s="136"/>
      <c r="N756" s="131"/>
      <c r="O756" s="134"/>
    </row>
    <row r="757" spans="1:15">
      <c r="A757" s="130"/>
      <c r="B757" s="136"/>
      <c r="N757" s="131"/>
      <c r="O757" s="134"/>
    </row>
    <row r="758" spans="1:15">
      <c r="A758" s="130"/>
      <c r="B758" s="136"/>
      <c r="N758" s="131"/>
      <c r="O758" s="134"/>
    </row>
    <row r="759" spans="1:15">
      <c r="A759" s="130"/>
      <c r="B759" s="136"/>
      <c r="N759" s="131"/>
      <c r="O759" s="134"/>
    </row>
    <row r="760" spans="1:15">
      <c r="A760" s="130"/>
      <c r="B760" s="136"/>
      <c r="N760" s="131"/>
      <c r="O760" s="134"/>
    </row>
    <row r="761" spans="1:15">
      <c r="A761" s="130"/>
      <c r="B761" s="136"/>
      <c r="N761" s="131"/>
      <c r="O761" s="134"/>
    </row>
    <row r="762" spans="1:15">
      <c r="A762" s="130"/>
      <c r="B762" s="136"/>
      <c r="N762" s="131"/>
      <c r="O762" s="134"/>
    </row>
    <row r="763" spans="1:15">
      <c r="A763" s="130"/>
      <c r="B763" s="136"/>
      <c r="N763" s="131"/>
      <c r="O763" s="134"/>
    </row>
    <row r="764" spans="1:15">
      <c r="A764" s="130"/>
      <c r="B764" s="136"/>
      <c r="N764" s="131"/>
      <c r="O764" s="134"/>
    </row>
    <row r="765" spans="1:15">
      <c r="A765" s="130"/>
      <c r="B765" s="136"/>
      <c r="N765" s="131"/>
      <c r="O765" s="134"/>
    </row>
    <row r="766" spans="1:15">
      <c r="A766" s="130"/>
      <c r="B766" s="136"/>
      <c r="N766" s="131"/>
      <c r="O766" s="134"/>
    </row>
    <row r="767" spans="1:15">
      <c r="A767" s="130"/>
      <c r="B767" s="136"/>
      <c r="N767" s="131"/>
      <c r="O767" s="134"/>
    </row>
    <row r="768" spans="1:15">
      <c r="A768" s="130"/>
      <c r="B768" s="136"/>
      <c r="N768" s="131"/>
      <c r="O768" s="134"/>
    </row>
    <row r="769" spans="1:15">
      <c r="A769" s="130"/>
      <c r="B769" s="136"/>
      <c r="N769" s="131"/>
      <c r="O769" s="134"/>
    </row>
    <row r="770" spans="1:15">
      <c r="A770" s="130"/>
      <c r="B770" s="136"/>
      <c r="N770" s="131"/>
      <c r="O770" s="134"/>
    </row>
    <row r="771" spans="1:15">
      <c r="A771" s="130"/>
      <c r="B771" s="136"/>
      <c r="N771" s="131"/>
      <c r="O771" s="134"/>
    </row>
    <row r="772" spans="1:15">
      <c r="A772" s="130"/>
      <c r="B772" s="136"/>
      <c r="N772" s="131"/>
      <c r="O772" s="134"/>
    </row>
    <row r="773" spans="1:15">
      <c r="A773" s="130"/>
      <c r="B773" s="136"/>
      <c r="N773" s="131"/>
      <c r="O773" s="134"/>
    </row>
    <row r="774" spans="1:15">
      <c r="A774" s="130"/>
      <c r="B774" s="136"/>
      <c r="N774" s="131"/>
      <c r="O774" s="134"/>
    </row>
    <row r="775" spans="1:15">
      <c r="A775" s="130"/>
      <c r="B775" s="136"/>
      <c r="N775" s="131"/>
      <c r="O775" s="134"/>
    </row>
    <row r="776" spans="1:15">
      <c r="A776" s="130"/>
      <c r="B776" s="136"/>
      <c r="N776" s="131"/>
      <c r="O776" s="134"/>
    </row>
    <row r="777" spans="1:15">
      <c r="A777" s="130"/>
      <c r="B777" s="136"/>
      <c r="N777" s="131"/>
      <c r="O777" s="134"/>
    </row>
    <row r="778" spans="1:15">
      <c r="A778" s="130"/>
      <c r="B778" s="136"/>
      <c r="N778" s="131"/>
      <c r="O778" s="134"/>
    </row>
    <row r="779" spans="1:15">
      <c r="A779" s="130"/>
      <c r="B779" s="136"/>
      <c r="N779" s="131"/>
      <c r="O779" s="134"/>
    </row>
    <row r="780" spans="1:15">
      <c r="A780" s="130"/>
      <c r="B780" s="136"/>
      <c r="N780" s="131"/>
      <c r="O780" s="134"/>
    </row>
    <row r="781" spans="1:15">
      <c r="A781" s="130"/>
      <c r="B781" s="136"/>
      <c r="N781" s="131"/>
      <c r="O781" s="134"/>
    </row>
    <row r="782" spans="1:15">
      <c r="A782" s="130"/>
      <c r="B782" s="136"/>
      <c r="N782" s="131"/>
      <c r="O782" s="134"/>
    </row>
    <row r="783" spans="1:15">
      <c r="A783" s="130"/>
      <c r="B783" s="136"/>
      <c r="N783" s="131"/>
      <c r="O783" s="134"/>
    </row>
    <row r="784" spans="1:15">
      <c r="A784" s="130"/>
      <c r="B784" s="136"/>
      <c r="N784" s="131"/>
      <c r="O784" s="134"/>
    </row>
    <row r="785" spans="1:15">
      <c r="A785" s="130"/>
      <c r="B785" s="136"/>
      <c r="N785" s="131"/>
      <c r="O785" s="134"/>
    </row>
    <row r="786" spans="1:15">
      <c r="A786" s="130"/>
      <c r="B786" s="136"/>
      <c r="N786" s="131"/>
      <c r="O786" s="134"/>
    </row>
    <row r="787" spans="1:15">
      <c r="A787" s="130"/>
      <c r="B787" s="136"/>
      <c r="N787" s="131"/>
      <c r="O787" s="134"/>
    </row>
    <row r="788" spans="1:15">
      <c r="A788" s="130"/>
      <c r="B788" s="136"/>
      <c r="N788" s="131"/>
      <c r="O788" s="134"/>
    </row>
    <row r="789" spans="1:15">
      <c r="A789" s="130"/>
      <c r="B789" s="136"/>
      <c r="N789" s="131"/>
      <c r="O789" s="134"/>
    </row>
    <row r="790" spans="1:15">
      <c r="A790" s="130"/>
      <c r="B790" s="136"/>
      <c r="N790" s="131"/>
      <c r="O790" s="134"/>
    </row>
    <row r="791" spans="1:15">
      <c r="A791" s="130"/>
      <c r="B791" s="136"/>
      <c r="N791" s="131"/>
      <c r="O791" s="134"/>
    </row>
    <row r="792" spans="1:15">
      <c r="A792" s="130"/>
      <c r="B792" s="136"/>
      <c r="N792" s="131"/>
      <c r="O792" s="134"/>
    </row>
    <row r="793" spans="1:15">
      <c r="A793" s="130"/>
      <c r="B793" s="136"/>
      <c r="N793" s="131"/>
      <c r="O793" s="134"/>
    </row>
    <row r="794" spans="1:15">
      <c r="A794" s="130"/>
      <c r="B794" s="136"/>
      <c r="N794" s="131"/>
      <c r="O794" s="134"/>
    </row>
    <row r="795" spans="1:15">
      <c r="A795" s="130"/>
      <c r="B795" s="136"/>
      <c r="N795" s="131"/>
      <c r="O795" s="134"/>
    </row>
    <row r="796" spans="1:15">
      <c r="A796" s="130"/>
      <c r="B796" s="136"/>
      <c r="N796" s="131"/>
      <c r="O796" s="134"/>
    </row>
    <row r="797" spans="1:15">
      <c r="A797" s="130"/>
      <c r="B797" s="136"/>
      <c r="N797" s="131"/>
      <c r="O797" s="134"/>
    </row>
    <row r="798" spans="1:15">
      <c r="A798" s="130"/>
      <c r="B798" s="136"/>
      <c r="N798" s="131"/>
      <c r="O798" s="134"/>
    </row>
    <row r="799" spans="1:15">
      <c r="A799" s="130"/>
      <c r="B799" s="136"/>
      <c r="N799" s="131"/>
      <c r="O799" s="134"/>
    </row>
    <row r="800" spans="1:15">
      <c r="A800" s="130"/>
      <c r="B800" s="136"/>
      <c r="N800" s="131"/>
      <c r="O800" s="134"/>
    </row>
    <row r="801" spans="1:15">
      <c r="A801" s="130"/>
      <c r="B801" s="136"/>
      <c r="N801" s="131"/>
      <c r="O801" s="134"/>
    </row>
    <row r="802" spans="1:15">
      <c r="A802" s="130"/>
      <c r="B802" s="136"/>
      <c r="N802" s="131"/>
      <c r="O802" s="134"/>
    </row>
    <row r="803" spans="1:15">
      <c r="A803" s="130"/>
      <c r="B803" s="136"/>
      <c r="N803" s="131"/>
      <c r="O803" s="134"/>
    </row>
    <row r="804" spans="1:15">
      <c r="A804" s="130"/>
      <c r="B804" s="136"/>
      <c r="N804" s="131"/>
      <c r="O804" s="134"/>
    </row>
    <row r="805" spans="1:15">
      <c r="A805" s="130"/>
      <c r="B805" s="136"/>
      <c r="N805" s="131"/>
      <c r="O805" s="134"/>
    </row>
    <row r="806" spans="1:15">
      <c r="A806" s="130"/>
      <c r="B806" s="136"/>
      <c r="N806" s="131"/>
      <c r="O806" s="134"/>
    </row>
    <row r="807" spans="1:15">
      <c r="A807" s="130"/>
      <c r="B807" s="136"/>
      <c r="N807" s="131"/>
      <c r="O807" s="134"/>
    </row>
    <row r="808" spans="1:15">
      <c r="A808" s="130"/>
      <c r="B808" s="136"/>
      <c r="N808" s="131"/>
      <c r="O808" s="134"/>
    </row>
    <row r="809" spans="1:15">
      <c r="A809" s="130"/>
      <c r="B809" s="136"/>
      <c r="N809" s="131"/>
      <c r="O809" s="134"/>
    </row>
    <row r="810" spans="1:15">
      <c r="A810" s="130"/>
      <c r="B810" s="136"/>
      <c r="N810" s="131"/>
      <c r="O810" s="134"/>
    </row>
    <row r="811" spans="1:15">
      <c r="A811" s="130"/>
      <c r="B811" s="136"/>
      <c r="N811" s="131"/>
      <c r="O811" s="134"/>
    </row>
    <row r="812" spans="1:15">
      <c r="A812" s="130"/>
      <c r="B812" s="136"/>
      <c r="N812" s="131"/>
      <c r="O812" s="134"/>
    </row>
    <row r="813" spans="1:15">
      <c r="A813" s="130"/>
      <c r="B813" s="136"/>
      <c r="N813" s="131"/>
      <c r="O813" s="134"/>
    </row>
    <row r="814" spans="1:15">
      <c r="A814" s="130"/>
      <c r="B814" s="136"/>
      <c r="N814" s="131"/>
      <c r="O814" s="134"/>
    </row>
    <row r="815" spans="1:15">
      <c r="A815" s="130"/>
      <c r="B815" s="136"/>
      <c r="N815" s="131"/>
      <c r="O815" s="134"/>
    </row>
    <row r="816" spans="1:15">
      <c r="A816" s="130"/>
      <c r="B816" s="136"/>
      <c r="N816" s="131"/>
      <c r="O816" s="134"/>
    </row>
    <row r="817" spans="1:15">
      <c r="A817" s="130"/>
      <c r="B817" s="136"/>
      <c r="N817" s="131"/>
      <c r="O817" s="134"/>
    </row>
    <row r="818" spans="1:15">
      <c r="A818" s="130"/>
      <c r="B818" s="136"/>
      <c r="N818" s="131"/>
      <c r="O818" s="134"/>
    </row>
    <row r="819" spans="1:15">
      <c r="A819" s="130"/>
      <c r="B819" s="136"/>
      <c r="N819" s="131"/>
      <c r="O819" s="134"/>
    </row>
    <row r="820" spans="1:15">
      <c r="A820" s="130"/>
      <c r="B820" s="136"/>
      <c r="N820" s="131"/>
      <c r="O820" s="134"/>
    </row>
    <row r="821" spans="1:15">
      <c r="A821" s="130"/>
      <c r="B821" s="136"/>
      <c r="N821" s="131"/>
      <c r="O821" s="134"/>
    </row>
    <row r="822" spans="1:15">
      <c r="A822" s="130"/>
      <c r="B822" s="136"/>
      <c r="N822" s="131"/>
      <c r="O822" s="134"/>
    </row>
    <row r="823" spans="1:15">
      <c r="A823" s="130"/>
      <c r="B823" s="136"/>
      <c r="N823" s="131"/>
      <c r="O823" s="134"/>
    </row>
    <row r="824" spans="1:15">
      <c r="A824" s="130"/>
      <c r="B824" s="136"/>
      <c r="N824" s="131"/>
      <c r="O824" s="134"/>
    </row>
    <row r="825" spans="1:15">
      <c r="A825" s="130"/>
      <c r="B825" s="136"/>
      <c r="N825" s="131"/>
      <c r="O825" s="134"/>
    </row>
    <row r="826" spans="1:15">
      <c r="A826" s="130"/>
      <c r="B826" s="136"/>
      <c r="N826" s="131"/>
      <c r="O826" s="134"/>
    </row>
    <row r="827" spans="1:15">
      <c r="A827" s="130"/>
      <c r="B827" s="136"/>
      <c r="N827" s="131"/>
      <c r="O827" s="134"/>
    </row>
    <row r="828" spans="1:15">
      <c r="A828" s="130"/>
      <c r="B828" s="136"/>
      <c r="N828" s="131"/>
      <c r="O828" s="134"/>
    </row>
    <row r="829" spans="1:15">
      <c r="A829" s="130"/>
      <c r="B829" s="136"/>
      <c r="N829" s="131"/>
      <c r="O829" s="134"/>
    </row>
    <row r="830" spans="1:15">
      <c r="A830" s="130"/>
      <c r="B830" s="136"/>
      <c r="N830" s="131"/>
      <c r="O830" s="134"/>
    </row>
    <row r="831" spans="1:15">
      <c r="A831" s="130"/>
      <c r="B831" s="136"/>
      <c r="N831" s="131"/>
      <c r="O831" s="134"/>
    </row>
    <row r="832" spans="1:15">
      <c r="A832" s="130"/>
      <c r="B832" s="136"/>
      <c r="N832" s="131"/>
      <c r="O832" s="134"/>
    </row>
    <row r="833" spans="1:15">
      <c r="A833" s="130"/>
      <c r="B833" s="136"/>
      <c r="N833" s="131"/>
      <c r="O833" s="134"/>
    </row>
    <row r="834" spans="1:15">
      <c r="A834" s="130"/>
      <c r="B834" s="136"/>
      <c r="N834" s="131"/>
      <c r="O834" s="134"/>
    </row>
    <row r="835" spans="1:15">
      <c r="A835" s="130"/>
      <c r="B835" s="136"/>
      <c r="N835" s="131"/>
      <c r="O835" s="134"/>
    </row>
    <row r="836" spans="1:15">
      <c r="A836" s="130"/>
      <c r="B836" s="136"/>
      <c r="N836" s="131"/>
      <c r="O836" s="134"/>
    </row>
    <row r="837" spans="1:15">
      <c r="A837" s="130"/>
      <c r="B837" s="136"/>
      <c r="N837" s="131"/>
      <c r="O837" s="134"/>
    </row>
    <row r="838" spans="1:15">
      <c r="A838" s="130"/>
      <c r="B838" s="136"/>
      <c r="N838" s="131"/>
      <c r="O838" s="134"/>
    </row>
    <row r="839" spans="1:15">
      <c r="A839" s="130"/>
      <c r="B839" s="136"/>
      <c r="N839" s="131"/>
      <c r="O839" s="134"/>
    </row>
    <row r="840" spans="1:15">
      <c r="A840" s="130"/>
      <c r="B840" s="136"/>
      <c r="N840" s="131"/>
      <c r="O840" s="134"/>
    </row>
    <row r="841" spans="1:15">
      <c r="A841" s="130"/>
      <c r="B841" s="136"/>
      <c r="N841" s="131"/>
      <c r="O841" s="134"/>
    </row>
    <row r="842" spans="1:15">
      <c r="A842" s="130"/>
      <c r="B842" s="136"/>
      <c r="N842" s="131"/>
      <c r="O842" s="134"/>
    </row>
    <row r="843" spans="1:15">
      <c r="A843" s="130"/>
      <c r="B843" s="136"/>
      <c r="N843" s="131"/>
      <c r="O843" s="134"/>
    </row>
    <row r="844" spans="1:15">
      <c r="A844" s="130"/>
      <c r="B844" s="136"/>
      <c r="N844" s="131"/>
      <c r="O844" s="134"/>
    </row>
    <row r="845" spans="1:15">
      <c r="A845" s="130"/>
      <c r="B845" s="136"/>
      <c r="N845" s="131"/>
      <c r="O845" s="134"/>
    </row>
    <row r="846" spans="1:15">
      <c r="A846" s="130"/>
      <c r="B846" s="136"/>
      <c r="N846" s="131"/>
      <c r="O846" s="134"/>
    </row>
    <row r="847" spans="1:15">
      <c r="A847" s="130"/>
      <c r="B847" s="136"/>
      <c r="N847" s="131"/>
      <c r="O847" s="134"/>
    </row>
    <row r="848" spans="1:15">
      <c r="A848" s="130"/>
      <c r="B848" s="136"/>
      <c r="N848" s="131"/>
      <c r="O848" s="134"/>
    </row>
    <row r="849" spans="1:15">
      <c r="A849" s="130"/>
      <c r="B849" s="136"/>
      <c r="N849" s="131"/>
      <c r="O849" s="134"/>
    </row>
    <row r="850" spans="1:15">
      <c r="A850" s="130"/>
      <c r="B850" s="136"/>
      <c r="N850" s="131"/>
      <c r="O850" s="134"/>
    </row>
    <row r="851" spans="1:15">
      <c r="A851" s="130"/>
      <c r="B851" s="136"/>
      <c r="N851" s="131"/>
      <c r="O851" s="134"/>
    </row>
    <row r="852" spans="1:15">
      <c r="A852" s="130"/>
      <c r="B852" s="136"/>
      <c r="N852" s="131"/>
      <c r="O852" s="134"/>
    </row>
    <row r="853" spans="1:15">
      <c r="A853" s="130"/>
      <c r="B853" s="136"/>
      <c r="N853" s="131"/>
      <c r="O853" s="134"/>
    </row>
    <row r="854" spans="1:15">
      <c r="A854" s="130"/>
      <c r="B854" s="136"/>
      <c r="N854" s="131"/>
      <c r="O854" s="134"/>
    </row>
    <row r="855" spans="1:15">
      <c r="A855" s="130"/>
      <c r="B855" s="136"/>
      <c r="N855" s="131"/>
      <c r="O855" s="134"/>
    </row>
    <row r="856" spans="1:15">
      <c r="A856" s="130"/>
      <c r="B856" s="136"/>
      <c r="N856" s="131"/>
      <c r="O856" s="134"/>
    </row>
    <row r="857" spans="1:15">
      <c r="A857" s="130"/>
      <c r="B857" s="136"/>
      <c r="N857" s="131"/>
      <c r="O857" s="134"/>
    </row>
    <row r="858" spans="1:15">
      <c r="A858" s="130"/>
      <c r="B858" s="136"/>
      <c r="N858" s="131"/>
      <c r="O858" s="134"/>
    </row>
    <row r="859" spans="1:15">
      <c r="A859" s="130"/>
      <c r="B859" s="136"/>
      <c r="N859" s="131"/>
      <c r="O859" s="134"/>
    </row>
    <row r="860" spans="1:15">
      <c r="A860" s="130"/>
      <c r="B860" s="136"/>
      <c r="N860" s="131"/>
      <c r="O860" s="134"/>
    </row>
    <row r="861" spans="1:15">
      <c r="A861" s="130"/>
      <c r="B861" s="136"/>
      <c r="N861" s="131"/>
      <c r="O861" s="134"/>
    </row>
    <row r="862" spans="1:15">
      <c r="A862" s="130"/>
      <c r="B862" s="136"/>
      <c r="N862" s="131"/>
      <c r="O862" s="134"/>
    </row>
    <row r="863" spans="1:15">
      <c r="A863" s="130"/>
      <c r="B863" s="136"/>
      <c r="N863" s="131"/>
      <c r="O863" s="134"/>
    </row>
    <row r="864" spans="1:15">
      <c r="A864" s="130"/>
      <c r="B864" s="136"/>
      <c r="N864" s="131"/>
      <c r="O864" s="134"/>
    </row>
    <row r="865" spans="1:15">
      <c r="A865" s="130"/>
      <c r="B865" s="136"/>
      <c r="N865" s="131"/>
      <c r="O865" s="134"/>
    </row>
    <row r="866" spans="1:15">
      <c r="A866" s="130"/>
      <c r="B866" s="136"/>
      <c r="N866" s="131"/>
      <c r="O866" s="134"/>
    </row>
    <row r="867" spans="1:15">
      <c r="A867" s="130"/>
      <c r="B867" s="136"/>
      <c r="N867" s="131"/>
      <c r="O867" s="134"/>
    </row>
    <row r="868" spans="1:15">
      <c r="A868" s="130"/>
      <c r="B868" s="136"/>
      <c r="N868" s="131"/>
      <c r="O868" s="134"/>
    </row>
    <row r="869" spans="1:15">
      <c r="A869" s="130"/>
      <c r="B869" s="136"/>
      <c r="N869" s="131"/>
      <c r="O869" s="134"/>
    </row>
    <row r="870" spans="1:15">
      <c r="A870" s="130"/>
      <c r="B870" s="136"/>
      <c r="N870" s="131"/>
      <c r="O870" s="134"/>
    </row>
    <row r="871" spans="1:15">
      <c r="A871" s="130"/>
      <c r="B871" s="136"/>
      <c r="N871" s="131"/>
      <c r="O871" s="134"/>
    </row>
    <row r="872" spans="1:15">
      <c r="A872" s="130"/>
      <c r="B872" s="136"/>
      <c r="N872" s="131"/>
      <c r="O872" s="134"/>
    </row>
    <row r="873" spans="1:15">
      <c r="A873" s="130"/>
      <c r="B873" s="136"/>
      <c r="N873" s="131"/>
      <c r="O873" s="134"/>
    </row>
    <row r="874" spans="1:15">
      <c r="A874" s="130"/>
      <c r="B874" s="136"/>
      <c r="N874" s="131"/>
      <c r="O874" s="134"/>
    </row>
    <row r="875" spans="1:15">
      <c r="A875" s="130"/>
      <c r="B875" s="136"/>
      <c r="N875" s="131"/>
      <c r="O875" s="134"/>
    </row>
    <row r="876" spans="1:15">
      <c r="A876" s="130"/>
      <c r="B876" s="136"/>
      <c r="N876" s="131"/>
      <c r="O876" s="134"/>
    </row>
    <row r="877" spans="1:15">
      <c r="A877" s="130"/>
      <c r="B877" s="136"/>
      <c r="N877" s="131"/>
      <c r="O877" s="134"/>
    </row>
    <row r="878" spans="1:15">
      <c r="A878" s="130"/>
      <c r="B878" s="136"/>
      <c r="N878" s="131"/>
      <c r="O878" s="134"/>
    </row>
    <row r="879" spans="1:15">
      <c r="A879" s="130"/>
      <c r="B879" s="136"/>
      <c r="N879" s="131"/>
      <c r="O879" s="134"/>
    </row>
    <row r="880" spans="1:15">
      <c r="A880" s="130"/>
      <c r="B880" s="136"/>
      <c r="N880" s="131"/>
      <c r="O880" s="134"/>
    </row>
    <row r="881" spans="1:15">
      <c r="A881" s="130"/>
      <c r="B881" s="136"/>
      <c r="N881" s="131"/>
      <c r="O881" s="134"/>
    </row>
    <row r="882" spans="1:15">
      <c r="A882" s="130"/>
      <c r="B882" s="136"/>
      <c r="N882" s="131"/>
      <c r="O882" s="134"/>
    </row>
    <row r="883" spans="1:15">
      <c r="A883" s="130"/>
      <c r="B883" s="136"/>
      <c r="N883" s="131"/>
      <c r="O883" s="134"/>
    </row>
    <row r="884" spans="1:15">
      <c r="A884" s="130"/>
      <c r="B884" s="136"/>
      <c r="N884" s="131"/>
      <c r="O884" s="134"/>
    </row>
    <row r="885" spans="1:15">
      <c r="A885" s="130"/>
      <c r="B885" s="136"/>
      <c r="N885" s="131"/>
      <c r="O885" s="134"/>
    </row>
    <row r="886" spans="1:15">
      <c r="A886" s="130"/>
      <c r="B886" s="136"/>
      <c r="N886" s="131"/>
      <c r="O886" s="134"/>
    </row>
    <row r="887" spans="1:15">
      <c r="A887" s="130"/>
      <c r="B887" s="136"/>
      <c r="N887" s="131"/>
      <c r="O887" s="134"/>
    </row>
    <row r="888" spans="1:15">
      <c r="A888" s="130"/>
      <c r="B888" s="136"/>
      <c r="N888" s="131"/>
      <c r="O888" s="134"/>
    </row>
    <row r="889" spans="1:15">
      <c r="A889" s="130"/>
      <c r="B889" s="136"/>
      <c r="N889" s="131"/>
      <c r="O889" s="134"/>
    </row>
    <row r="890" spans="1:15">
      <c r="A890" s="130"/>
      <c r="B890" s="136"/>
      <c r="N890" s="131"/>
      <c r="O890" s="134"/>
    </row>
    <row r="891" spans="1:15">
      <c r="A891" s="130"/>
      <c r="B891" s="136"/>
      <c r="N891" s="131"/>
      <c r="O891" s="134"/>
    </row>
    <row r="892" spans="1:15">
      <c r="A892" s="130"/>
      <c r="B892" s="136"/>
      <c r="N892" s="131"/>
      <c r="O892" s="134"/>
    </row>
    <row r="893" spans="1:15">
      <c r="A893" s="130"/>
      <c r="B893" s="136"/>
      <c r="N893" s="131"/>
      <c r="O893" s="134"/>
    </row>
    <row r="894" spans="1:15">
      <c r="A894" s="130"/>
      <c r="B894" s="136"/>
      <c r="N894" s="131"/>
      <c r="O894" s="134"/>
    </row>
    <row r="895" spans="1:15">
      <c r="A895" s="130"/>
      <c r="B895" s="136"/>
      <c r="N895" s="131"/>
      <c r="O895" s="134"/>
    </row>
    <row r="896" spans="1:15">
      <c r="A896" s="130"/>
      <c r="B896" s="136"/>
      <c r="N896" s="131"/>
      <c r="O896" s="134"/>
    </row>
    <row r="897" spans="1:15">
      <c r="A897" s="130"/>
      <c r="B897" s="136"/>
      <c r="N897" s="131"/>
      <c r="O897" s="134"/>
    </row>
    <row r="898" spans="1:15">
      <c r="A898" s="130"/>
      <c r="B898" s="136"/>
      <c r="N898" s="131"/>
      <c r="O898" s="134"/>
    </row>
    <row r="899" spans="1:15">
      <c r="A899" s="130"/>
      <c r="B899" s="136"/>
      <c r="N899" s="131"/>
      <c r="O899" s="134"/>
    </row>
    <row r="900" spans="1:15">
      <c r="A900" s="130"/>
      <c r="B900" s="136"/>
      <c r="N900" s="131"/>
      <c r="O900" s="134"/>
    </row>
    <row r="901" spans="1:15">
      <c r="A901" s="130"/>
      <c r="B901" s="136"/>
      <c r="N901" s="131"/>
      <c r="O901" s="134"/>
    </row>
    <row r="902" spans="1:15">
      <c r="A902" s="130"/>
      <c r="B902" s="136"/>
      <c r="N902" s="131"/>
      <c r="O902" s="134"/>
    </row>
    <row r="903" spans="1:15">
      <c r="A903" s="130"/>
      <c r="B903" s="136"/>
      <c r="N903" s="131"/>
      <c r="O903" s="134"/>
    </row>
    <row r="904" spans="1:15">
      <c r="A904" s="130"/>
      <c r="B904" s="136"/>
      <c r="N904" s="131"/>
      <c r="O904" s="134"/>
    </row>
    <row r="905" spans="1:15">
      <c r="A905" s="130"/>
      <c r="B905" s="136"/>
      <c r="N905" s="131"/>
      <c r="O905" s="134"/>
    </row>
    <row r="906" spans="1:15">
      <c r="A906" s="130"/>
      <c r="B906" s="136"/>
      <c r="N906" s="131"/>
      <c r="O906" s="134"/>
    </row>
    <row r="907" spans="1:15">
      <c r="A907" s="130"/>
      <c r="B907" s="136"/>
      <c r="N907" s="131"/>
      <c r="O907" s="134"/>
    </row>
    <row r="908" spans="1:15">
      <c r="A908" s="130"/>
      <c r="B908" s="136"/>
      <c r="N908" s="131"/>
      <c r="O908" s="134"/>
    </row>
    <row r="909" spans="1:15">
      <c r="A909" s="130"/>
      <c r="B909" s="136"/>
      <c r="N909" s="131"/>
      <c r="O909" s="134"/>
    </row>
    <row r="910" spans="1:15">
      <c r="A910" s="130"/>
      <c r="B910" s="136"/>
      <c r="N910" s="131"/>
      <c r="O910" s="134"/>
    </row>
    <row r="911" spans="1:15">
      <c r="A911" s="130"/>
      <c r="B911" s="136"/>
      <c r="N911" s="131"/>
      <c r="O911" s="134"/>
    </row>
    <row r="912" spans="1:15">
      <c r="A912" s="130"/>
      <c r="B912" s="136"/>
      <c r="N912" s="131"/>
      <c r="O912" s="134"/>
    </row>
    <row r="913" spans="1:15">
      <c r="A913" s="130"/>
      <c r="B913" s="136"/>
      <c r="N913" s="131"/>
      <c r="O913" s="134"/>
    </row>
    <row r="914" spans="1:15">
      <c r="A914" s="130"/>
      <c r="B914" s="136"/>
      <c r="N914" s="131"/>
      <c r="O914" s="134"/>
    </row>
    <row r="915" spans="1:15">
      <c r="A915" s="130"/>
      <c r="B915" s="136"/>
      <c r="N915" s="131"/>
      <c r="O915" s="134"/>
    </row>
    <row r="916" spans="1:15">
      <c r="A916" s="130"/>
      <c r="B916" s="136"/>
      <c r="N916" s="131"/>
      <c r="O916" s="134"/>
    </row>
    <row r="917" spans="1:15">
      <c r="A917" s="130"/>
      <c r="B917" s="136"/>
      <c r="N917" s="131"/>
      <c r="O917" s="134"/>
    </row>
    <row r="918" spans="1:15">
      <c r="A918" s="130"/>
      <c r="B918" s="136"/>
      <c r="N918" s="131"/>
      <c r="O918" s="134"/>
    </row>
    <row r="919" spans="1:15">
      <c r="A919" s="130"/>
      <c r="B919" s="136"/>
      <c r="N919" s="131"/>
      <c r="O919" s="134"/>
    </row>
    <row r="920" spans="1:15">
      <c r="A920" s="130"/>
      <c r="B920" s="136"/>
      <c r="N920" s="131"/>
      <c r="O920" s="134"/>
    </row>
    <row r="921" spans="1:15">
      <c r="A921" s="130"/>
      <c r="B921" s="136"/>
      <c r="N921" s="131"/>
      <c r="O921" s="134"/>
    </row>
    <row r="922" spans="1:15">
      <c r="A922" s="130"/>
      <c r="B922" s="136"/>
      <c r="N922" s="131"/>
      <c r="O922" s="134"/>
    </row>
    <row r="923" spans="1:15">
      <c r="A923" s="130"/>
      <c r="B923" s="136"/>
      <c r="N923" s="131"/>
      <c r="O923" s="134"/>
    </row>
    <row r="924" spans="1:15">
      <c r="A924" s="130"/>
      <c r="B924" s="136"/>
      <c r="N924" s="131"/>
      <c r="O924" s="134"/>
    </row>
    <row r="925" spans="1:15">
      <c r="A925" s="130"/>
      <c r="B925" s="136"/>
      <c r="N925" s="131"/>
      <c r="O925" s="134"/>
    </row>
    <row r="926" spans="1:15">
      <c r="A926" s="130"/>
      <c r="B926" s="136"/>
      <c r="N926" s="131"/>
      <c r="O926" s="134"/>
    </row>
    <row r="927" spans="1:15">
      <c r="A927" s="130"/>
      <c r="B927" s="136"/>
      <c r="N927" s="131"/>
      <c r="O927" s="134"/>
    </row>
    <row r="928" spans="1:15">
      <c r="A928" s="130"/>
      <c r="B928" s="136"/>
      <c r="N928" s="131"/>
      <c r="O928" s="134"/>
    </row>
    <row r="929" spans="1:15">
      <c r="A929" s="130"/>
      <c r="B929" s="136"/>
      <c r="N929" s="131"/>
      <c r="O929" s="134"/>
    </row>
    <row r="930" spans="1:15">
      <c r="A930" s="130"/>
      <c r="B930" s="136"/>
      <c r="N930" s="131"/>
      <c r="O930" s="134"/>
    </row>
    <row r="931" spans="1:15">
      <c r="A931" s="130"/>
      <c r="B931" s="136"/>
      <c r="N931" s="131"/>
      <c r="O931" s="134"/>
    </row>
    <row r="932" spans="1:15">
      <c r="A932" s="130"/>
      <c r="B932" s="136"/>
      <c r="N932" s="131"/>
      <c r="O932" s="134"/>
    </row>
    <row r="933" spans="1:15">
      <c r="A933" s="130"/>
      <c r="B933" s="136"/>
      <c r="N933" s="131"/>
      <c r="O933" s="134"/>
    </row>
    <row r="934" spans="1:15">
      <c r="A934" s="130"/>
      <c r="B934" s="136"/>
      <c r="N934" s="131"/>
      <c r="O934" s="134"/>
    </row>
    <row r="935" spans="1:15">
      <c r="A935" s="130"/>
      <c r="B935" s="136"/>
      <c r="N935" s="131"/>
      <c r="O935" s="134"/>
    </row>
    <row r="936" spans="1:15">
      <c r="A936" s="130"/>
      <c r="B936" s="136"/>
      <c r="N936" s="131"/>
      <c r="O936" s="134"/>
    </row>
    <row r="937" spans="1:15">
      <c r="A937" s="130"/>
      <c r="B937" s="136"/>
      <c r="N937" s="131"/>
      <c r="O937" s="134"/>
    </row>
    <row r="938" spans="1:15">
      <c r="A938" s="130"/>
      <c r="B938" s="136"/>
      <c r="N938" s="131"/>
      <c r="O938" s="134"/>
    </row>
    <row r="939" spans="1:15">
      <c r="A939" s="130"/>
      <c r="B939" s="136"/>
      <c r="N939" s="131"/>
      <c r="O939" s="134"/>
    </row>
    <row r="940" spans="1:15">
      <c r="A940" s="130"/>
      <c r="B940" s="136"/>
      <c r="N940" s="131"/>
      <c r="O940" s="134"/>
    </row>
    <row r="941" spans="1:15">
      <c r="A941" s="130"/>
      <c r="B941" s="136"/>
      <c r="N941" s="131"/>
      <c r="O941" s="134"/>
    </row>
    <row r="942" spans="1:15">
      <c r="A942" s="130"/>
      <c r="B942" s="136"/>
      <c r="N942" s="131"/>
      <c r="O942" s="134"/>
    </row>
    <row r="943" spans="1:15">
      <c r="A943" s="130"/>
      <c r="B943" s="136"/>
      <c r="N943" s="131"/>
      <c r="O943" s="134"/>
    </row>
    <row r="944" spans="1:15">
      <c r="A944" s="130"/>
      <c r="B944" s="136"/>
      <c r="N944" s="131"/>
      <c r="O944" s="134"/>
    </row>
    <row r="945" spans="1:15">
      <c r="A945" s="130"/>
      <c r="B945" s="136"/>
      <c r="N945" s="131"/>
      <c r="O945" s="134"/>
    </row>
    <row r="946" spans="1:15">
      <c r="A946" s="130"/>
      <c r="B946" s="136"/>
      <c r="N946" s="131"/>
      <c r="O946" s="134"/>
    </row>
    <row r="947" spans="1:15">
      <c r="A947" s="130"/>
      <c r="B947" s="136"/>
      <c r="N947" s="131"/>
      <c r="O947" s="134"/>
    </row>
    <row r="948" spans="1:15">
      <c r="A948" s="130"/>
      <c r="B948" s="136"/>
      <c r="N948" s="131"/>
      <c r="O948" s="134"/>
    </row>
    <row r="949" spans="1:15">
      <c r="A949" s="130"/>
      <c r="B949" s="136"/>
      <c r="N949" s="131"/>
      <c r="O949" s="134"/>
    </row>
    <row r="950" spans="1:15">
      <c r="A950" s="130"/>
      <c r="B950" s="136"/>
      <c r="N950" s="131"/>
      <c r="O950" s="134"/>
    </row>
    <row r="951" spans="1:15">
      <c r="A951" s="130"/>
      <c r="B951" s="136"/>
      <c r="N951" s="131"/>
      <c r="O951" s="134"/>
    </row>
    <row r="952" spans="1:15">
      <c r="A952" s="130"/>
      <c r="B952" s="136"/>
      <c r="N952" s="131"/>
      <c r="O952" s="134"/>
    </row>
    <row r="953" spans="1:15">
      <c r="A953" s="130"/>
      <c r="B953" s="136"/>
      <c r="N953" s="131"/>
      <c r="O953" s="134"/>
    </row>
    <row r="954" spans="1:15">
      <c r="A954" s="130"/>
      <c r="B954" s="136"/>
      <c r="N954" s="131"/>
      <c r="O954" s="134"/>
    </row>
    <row r="955" spans="1:15">
      <c r="A955" s="130"/>
      <c r="B955" s="136"/>
      <c r="N955" s="131"/>
      <c r="O955" s="134"/>
    </row>
    <row r="956" spans="1:15">
      <c r="A956" s="130"/>
      <c r="B956" s="136"/>
      <c r="N956" s="131"/>
      <c r="O956" s="134"/>
    </row>
    <row r="957" spans="1:15">
      <c r="A957" s="130"/>
      <c r="B957" s="136"/>
      <c r="N957" s="131"/>
      <c r="O957" s="134"/>
    </row>
    <row r="958" spans="1:15">
      <c r="A958" s="130"/>
      <c r="B958" s="136"/>
      <c r="N958" s="131"/>
      <c r="O958" s="134"/>
    </row>
    <row r="959" spans="1:15">
      <c r="A959" s="130"/>
      <c r="B959" s="136"/>
      <c r="N959" s="131"/>
      <c r="O959" s="134"/>
    </row>
    <row r="960" spans="1:15">
      <c r="A960" s="130"/>
      <c r="B960" s="136"/>
      <c r="N960" s="131"/>
      <c r="O960" s="134"/>
    </row>
    <row r="961" spans="1:15">
      <c r="A961" s="130"/>
      <c r="B961" s="136"/>
      <c r="N961" s="131"/>
      <c r="O961" s="134"/>
    </row>
    <row r="962" spans="1:15">
      <c r="A962" s="130"/>
      <c r="B962" s="136"/>
      <c r="N962" s="131"/>
      <c r="O962" s="134"/>
    </row>
    <row r="963" spans="1:15">
      <c r="A963" s="130"/>
      <c r="B963" s="136"/>
      <c r="N963" s="131"/>
      <c r="O963" s="134"/>
    </row>
    <row r="964" spans="1:15">
      <c r="A964" s="130"/>
      <c r="B964" s="136"/>
      <c r="N964" s="131"/>
      <c r="O964" s="134"/>
    </row>
    <row r="965" spans="1:15">
      <c r="A965" s="130"/>
      <c r="B965" s="136"/>
      <c r="N965" s="131"/>
      <c r="O965" s="134"/>
    </row>
    <row r="966" spans="1:15">
      <c r="A966" s="130"/>
      <c r="B966" s="136"/>
      <c r="N966" s="131"/>
      <c r="O966" s="134"/>
    </row>
    <row r="967" spans="1:15">
      <c r="A967" s="130"/>
      <c r="B967" s="136"/>
      <c r="N967" s="131"/>
      <c r="O967" s="134"/>
    </row>
    <row r="968" spans="1:15">
      <c r="A968" s="130"/>
      <c r="B968" s="136"/>
      <c r="N968" s="131"/>
      <c r="O968" s="134"/>
    </row>
    <row r="969" spans="1:15">
      <c r="A969" s="130"/>
      <c r="B969" s="136"/>
      <c r="N969" s="131"/>
      <c r="O969" s="134"/>
    </row>
    <row r="970" spans="1:15">
      <c r="A970" s="130"/>
      <c r="B970" s="136"/>
      <c r="N970" s="131"/>
      <c r="O970" s="134"/>
    </row>
    <row r="971" spans="1:15">
      <c r="A971" s="130"/>
      <c r="B971" s="136"/>
      <c r="N971" s="131"/>
      <c r="O971" s="134"/>
    </row>
    <row r="972" spans="1:15">
      <c r="A972" s="130"/>
      <c r="B972" s="136"/>
      <c r="N972" s="131"/>
      <c r="O972" s="134"/>
    </row>
    <row r="973" spans="1:15">
      <c r="A973" s="130"/>
      <c r="B973" s="136"/>
      <c r="N973" s="131"/>
      <c r="O973" s="134"/>
    </row>
    <row r="974" spans="1:15">
      <c r="A974" s="130"/>
      <c r="B974" s="136"/>
      <c r="N974" s="131"/>
      <c r="O974" s="134"/>
    </row>
    <row r="975" spans="1:15">
      <c r="A975" s="130"/>
      <c r="B975" s="136"/>
      <c r="N975" s="131"/>
      <c r="O975" s="134"/>
    </row>
    <row r="976" spans="1:15">
      <c r="A976" s="130"/>
      <c r="B976" s="136"/>
      <c r="N976" s="131"/>
      <c r="O976" s="134"/>
    </row>
    <row r="977" spans="1:15">
      <c r="A977" s="130"/>
      <c r="B977" s="136"/>
      <c r="N977" s="131"/>
      <c r="O977" s="134"/>
    </row>
    <row r="978" spans="1:15">
      <c r="A978" s="130"/>
      <c r="B978" s="136"/>
      <c r="N978" s="131"/>
      <c r="O978" s="134"/>
    </row>
    <row r="979" spans="1:15">
      <c r="A979" s="130"/>
      <c r="B979" s="136"/>
      <c r="N979" s="131"/>
      <c r="O979" s="134"/>
    </row>
    <row r="980" spans="1:15">
      <c r="A980" s="130"/>
      <c r="B980" s="136"/>
      <c r="N980" s="131"/>
      <c r="O980" s="134"/>
    </row>
    <row r="981" spans="1:15">
      <c r="A981" s="130"/>
      <c r="B981" s="136"/>
      <c r="N981" s="131"/>
      <c r="O981" s="134"/>
    </row>
    <row r="982" spans="1:15">
      <c r="A982" s="130"/>
      <c r="B982" s="136"/>
      <c r="N982" s="131"/>
      <c r="O982" s="134"/>
    </row>
    <row r="983" spans="1:15">
      <c r="A983" s="130"/>
      <c r="B983" s="136"/>
      <c r="N983" s="131"/>
      <c r="O983" s="134"/>
    </row>
    <row r="984" spans="1:15">
      <c r="A984" s="130"/>
      <c r="B984" s="136"/>
      <c r="N984" s="131"/>
      <c r="O984" s="134"/>
    </row>
    <row r="985" spans="1:15">
      <c r="A985" s="130"/>
      <c r="B985" s="136"/>
      <c r="N985" s="131"/>
      <c r="O985" s="134"/>
    </row>
    <row r="986" spans="1:15">
      <c r="A986" s="130"/>
      <c r="B986" s="136"/>
      <c r="N986" s="131"/>
      <c r="O986" s="134"/>
    </row>
    <row r="987" spans="1:15">
      <c r="A987" s="130"/>
      <c r="B987" s="136"/>
      <c r="N987" s="131"/>
      <c r="O987" s="134"/>
    </row>
    <row r="988" spans="1:15">
      <c r="A988" s="130"/>
      <c r="B988" s="136"/>
      <c r="N988" s="131"/>
      <c r="O988" s="134"/>
    </row>
    <row r="989" spans="1:15">
      <c r="A989" s="130"/>
      <c r="B989" s="136"/>
      <c r="N989" s="131"/>
      <c r="O989" s="134"/>
    </row>
    <row r="990" spans="1:15">
      <c r="A990" s="130"/>
      <c r="B990" s="136"/>
      <c r="N990" s="131"/>
      <c r="O990" s="134"/>
    </row>
    <row r="991" spans="1:15">
      <c r="A991" s="130"/>
      <c r="B991" s="136"/>
      <c r="N991" s="131"/>
      <c r="O991" s="134"/>
    </row>
    <row r="992" spans="1:15">
      <c r="A992" s="130"/>
      <c r="B992" s="136"/>
      <c r="N992" s="131"/>
      <c r="O992" s="134"/>
    </row>
    <row r="993" spans="1:15">
      <c r="A993" s="130"/>
      <c r="B993" s="136"/>
      <c r="N993" s="131"/>
      <c r="O993" s="134"/>
    </row>
  </sheetData>
  <sheetProtection password="CD8E" sheet="1" objects="1" scenarios="1" selectLockedCells="1"/>
  <mergeCells count="5">
    <mergeCell ref="B1:L3"/>
    <mergeCell ref="B33:K34"/>
    <mergeCell ref="B53:J54"/>
    <mergeCell ref="B72:K73"/>
    <mergeCell ref="B87:K88"/>
  </mergeCells>
  <conditionalFormatting sqref="B16:M92">
    <cfRule type="cellIs" dxfId="45" priority="2" operator="equal">
      <formula>"Correct"</formula>
    </cfRule>
    <cfRule type="cellIs" dxfId="44" priority="3" operator="equal">
      <formula>0</formula>
    </cfRule>
  </conditionalFormatting>
  <conditionalFormatting sqref="B20:M91">
    <cfRule type="cellIs" dxfId="43" priority="1" operator="equal">
      <formula>"Incorrect"</formula>
    </cfRule>
  </conditionalFormatting>
  <hyperlinks>
    <hyperlink ref="F8" location="BuildingDemand!A70" display="Go To Graph"/>
  </hyperlink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58370" r:id="rId3" name="Spinner 2">
              <controlPr defaultSize="0" autoPict="0">
                <anchor moveWithCells="1" sizeWithCells="1">
                  <from>
                    <xdr:col>2</xdr:col>
                    <xdr:colOff>330200</xdr:colOff>
                    <xdr:row>20</xdr:row>
                    <xdr:rowOff>25400</xdr:rowOff>
                  </from>
                  <to>
                    <xdr:col>2</xdr:col>
                    <xdr:colOff>546100</xdr:colOff>
                    <xdr:row>20</xdr:row>
                    <xdr:rowOff>215900</xdr:rowOff>
                  </to>
                </anchor>
              </controlPr>
            </control>
          </mc:Choice>
          <mc:Fallback/>
        </mc:AlternateContent>
        <mc:AlternateContent xmlns:mc="http://schemas.openxmlformats.org/markup-compatibility/2006">
          <mc:Choice Requires="x14">
            <control shapeId="58371" r:id="rId4" name="Spinner 3">
              <controlPr defaultSize="0" autoPict="0">
                <anchor moveWithCells="1" sizeWithCells="1">
                  <from>
                    <xdr:col>2</xdr:col>
                    <xdr:colOff>330200</xdr:colOff>
                    <xdr:row>21</xdr:row>
                    <xdr:rowOff>25400</xdr:rowOff>
                  </from>
                  <to>
                    <xdr:col>2</xdr:col>
                    <xdr:colOff>546100</xdr:colOff>
                    <xdr:row>21</xdr:row>
                    <xdr:rowOff>215900</xdr:rowOff>
                  </to>
                </anchor>
              </controlPr>
            </control>
          </mc:Choice>
          <mc:Fallback/>
        </mc:AlternateContent>
        <mc:AlternateContent xmlns:mc="http://schemas.openxmlformats.org/markup-compatibility/2006">
          <mc:Choice Requires="x14">
            <control shapeId="58372" r:id="rId5" name="Spinner 4">
              <controlPr defaultSize="0" autoPict="0">
                <anchor moveWithCells="1" sizeWithCells="1">
                  <from>
                    <xdr:col>2</xdr:col>
                    <xdr:colOff>330200</xdr:colOff>
                    <xdr:row>22</xdr:row>
                    <xdr:rowOff>25400</xdr:rowOff>
                  </from>
                  <to>
                    <xdr:col>2</xdr:col>
                    <xdr:colOff>546100</xdr:colOff>
                    <xdr:row>22</xdr:row>
                    <xdr:rowOff>215900</xdr:rowOff>
                  </to>
                </anchor>
              </controlPr>
            </control>
          </mc:Choice>
          <mc:Fallback/>
        </mc:AlternateContent>
        <mc:AlternateContent xmlns:mc="http://schemas.openxmlformats.org/markup-compatibility/2006">
          <mc:Choice Requires="x14">
            <control shapeId="58373" r:id="rId6" name="Spinner 5">
              <controlPr defaultSize="0" autoPict="0">
                <anchor moveWithCells="1" sizeWithCells="1">
                  <from>
                    <xdr:col>2</xdr:col>
                    <xdr:colOff>330200</xdr:colOff>
                    <xdr:row>23</xdr:row>
                    <xdr:rowOff>25400</xdr:rowOff>
                  </from>
                  <to>
                    <xdr:col>2</xdr:col>
                    <xdr:colOff>546100</xdr:colOff>
                    <xdr:row>23</xdr:row>
                    <xdr:rowOff>215900</xdr:rowOff>
                  </to>
                </anchor>
              </controlPr>
            </control>
          </mc:Choice>
          <mc:Fallback/>
        </mc:AlternateContent>
        <mc:AlternateContent xmlns:mc="http://schemas.openxmlformats.org/markup-compatibility/2006">
          <mc:Choice Requires="x14">
            <control shapeId="58374" r:id="rId7" name="Spinner 6">
              <controlPr defaultSize="0" autoPict="0">
                <anchor moveWithCells="1" sizeWithCells="1">
                  <from>
                    <xdr:col>2</xdr:col>
                    <xdr:colOff>330200</xdr:colOff>
                    <xdr:row>24</xdr:row>
                    <xdr:rowOff>25400</xdr:rowOff>
                  </from>
                  <to>
                    <xdr:col>2</xdr:col>
                    <xdr:colOff>546100</xdr:colOff>
                    <xdr:row>24</xdr:row>
                    <xdr:rowOff>215900</xdr:rowOff>
                  </to>
                </anchor>
              </controlPr>
            </control>
          </mc:Choice>
          <mc:Fallback/>
        </mc:AlternateContent>
        <mc:AlternateContent xmlns:mc="http://schemas.openxmlformats.org/markup-compatibility/2006">
          <mc:Choice Requires="x14">
            <control shapeId="58375" r:id="rId8" name="Spinner 7">
              <controlPr defaultSize="0" autoPict="0">
                <anchor moveWithCells="1" sizeWithCells="1">
                  <from>
                    <xdr:col>2</xdr:col>
                    <xdr:colOff>330200</xdr:colOff>
                    <xdr:row>25</xdr:row>
                    <xdr:rowOff>25400</xdr:rowOff>
                  </from>
                  <to>
                    <xdr:col>2</xdr:col>
                    <xdr:colOff>546100</xdr:colOff>
                    <xdr:row>25</xdr:row>
                    <xdr:rowOff>215900</xdr:rowOff>
                  </to>
                </anchor>
              </controlPr>
            </control>
          </mc:Choice>
          <mc:Fallback/>
        </mc:AlternateContent>
        <mc:AlternateContent xmlns:mc="http://schemas.openxmlformats.org/markup-compatibility/2006">
          <mc:Choice Requires="x14">
            <control shapeId="58376" r:id="rId9" name="Drop Down 8">
              <controlPr defaultSize="0" autoLine="0" autoPict="0">
                <anchor moveWithCells="1">
                  <from>
                    <xdr:col>7</xdr:col>
                    <xdr:colOff>431800</xdr:colOff>
                    <xdr:row>28</xdr:row>
                    <xdr:rowOff>0</xdr:rowOff>
                  </from>
                  <to>
                    <xdr:col>9</xdr:col>
                    <xdr:colOff>495300</xdr:colOff>
                    <xdr:row>29</xdr:row>
                    <xdr:rowOff>38100</xdr:rowOff>
                  </to>
                </anchor>
              </controlPr>
            </control>
          </mc:Choice>
          <mc:Fallback/>
        </mc:AlternateContent>
        <mc:AlternateContent xmlns:mc="http://schemas.openxmlformats.org/markup-compatibility/2006">
          <mc:Choice Requires="x14">
            <control shapeId="58377" r:id="rId10" name="Spinner 9">
              <controlPr defaultSize="0" autoPict="0">
                <anchor moveWithCells="1" sizeWithCells="1">
                  <from>
                    <xdr:col>2</xdr:col>
                    <xdr:colOff>330200</xdr:colOff>
                    <xdr:row>36</xdr:row>
                    <xdr:rowOff>25400</xdr:rowOff>
                  </from>
                  <to>
                    <xdr:col>2</xdr:col>
                    <xdr:colOff>546100</xdr:colOff>
                    <xdr:row>36</xdr:row>
                    <xdr:rowOff>215900</xdr:rowOff>
                  </to>
                </anchor>
              </controlPr>
            </control>
          </mc:Choice>
          <mc:Fallback/>
        </mc:AlternateContent>
        <mc:AlternateContent xmlns:mc="http://schemas.openxmlformats.org/markup-compatibility/2006">
          <mc:Choice Requires="x14">
            <control shapeId="58378" r:id="rId11" name="Spinner 10">
              <controlPr defaultSize="0" autoPict="0">
                <anchor moveWithCells="1" sizeWithCells="1">
                  <from>
                    <xdr:col>2</xdr:col>
                    <xdr:colOff>330200</xdr:colOff>
                    <xdr:row>37</xdr:row>
                    <xdr:rowOff>25400</xdr:rowOff>
                  </from>
                  <to>
                    <xdr:col>2</xdr:col>
                    <xdr:colOff>546100</xdr:colOff>
                    <xdr:row>37</xdr:row>
                    <xdr:rowOff>215900</xdr:rowOff>
                  </to>
                </anchor>
              </controlPr>
            </control>
          </mc:Choice>
          <mc:Fallback/>
        </mc:AlternateContent>
        <mc:AlternateContent xmlns:mc="http://schemas.openxmlformats.org/markup-compatibility/2006">
          <mc:Choice Requires="x14">
            <control shapeId="58379" r:id="rId12" name="Spinner 11">
              <controlPr defaultSize="0" autoPict="0">
                <anchor moveWithCells="1" sizeWithCells="1">
                  <from>
                    <xdr:col>2</xdr:col>
                    <xdr:colOff>330200</xdr:colOff>
                    <xdr:row>38</xdr:row>
                    <xdr:rowOff>25400</xdr:rowOff>
                  </from>
                  <to>
                    <xdr:col>2</xdr:col>
                    <xdr:colOff>546100</xdr:colOff>
                    <xdr:row>38</xdr:row>
                    <xdr:rowOff>215900</xdr:rowOff>
                  </to>
                </anchor>
              </controlPr>
            </control>
          </mc:Choice>
          <mc:Fallback/>
        </mc:AlternateContent>
        <mc:AlternateContent xmlns:mc="http://schemas.openxmlformats.org/markup-compatibility/2006">
          <mc:Choice Requires="x14">
            <control shapeId="58380" r:id="rId13" name="Spinner 12">
              <controlPr defaultSize="0" autoPict="0">
                <anchor moveWithCells="1" sizeWithCells="1">
                  <from>
                    <xdr:col>2</xdr:col>
                    <xdr:colOff>330200</xdr:colOff>
                    <xdr:row>39</xdr:row>
                    <xdr:rowOff>25400</xdr:rowOff>
                  </from>
                  <to>
                    <xdr:col>2</xdr:col>
                    <xdr:colOff>546100</xdr:colOff>
                    <xdr:row>39</xdr:row>
                    <xdr:rowOff>215900</xdr:rowOff>
                  </to>
                </anchor>
              </controlPr>
            </control>
          </mc:Choice>
          <mc:Fallback/>
        </mc:AlternateContent>
        <mc:AlternateContent xmlns:mc="http://schemas.openxmlformats.org/markup-compatibility/2006">
          <mc:Choice Requires="x14">
            <control shapeId="58381" r:id="rId14" name="Spinner 13">
              <controlPr defaultSize="0" autoPict="0">
                <anchor moveWithCells="1" sizeWithCells="1">
                  <from>
                    <xdr:col>2</xdr:col>
                    <xdr:colOff>330200</xdr:colOff>
                    <xdr:row>40</xdr:row>
                    <xdr:rowOff>25400</xdr:rowOff>
                  </from>
                  <to>
                    <xdr:col>2</xdr:col>
                    <xdr:colOff>546100</xdr:colOff>
                    <xdr:row>40</xdr:row>
                    <xdr:rowOff>215900</xdr:rowOff>
                  </to>
                </anchor>
              </controlPr>
            </control>
          </mc:Choice>
          <mc:Fallback/>
        </mc:AlternateContent>
        <mc:AlternateContent xmlns:mc="http://schemas.openxmlformats.org/markup-compatibility/2006">
          <mc:Choice Requires="x14">
            <control shapeId="58382" r:id="rId15" name="Spinner 14">
              <controlPr defaultSize="0" autoPict="0">
                <anchor moveWithCells="1" sizeWithCells="1">
                  <from>
                    <xdr:col>2</xdr:col>
                    <xdr:colOff>330200</xdr:colOff>
                    <xdr:row>41</xdr:row>
                    <xdr:rowOff>25400</xdr:rowOff>
                  </from>
                  <to>
                    <xdr:col>2</xdr:col>
                    <xdr:colOff>546100</xdr:colOff>
                    <xdr:row>41</xdr:row>
                    <xdr:rowOff>215900</xdr:rowOff>
                  </to>
                </anchor>
              </controlPr>
            </control>
          </mc:Choice>
          <mc:Fallback/>
        </mc:AlternateContent>
        <mc:AlternateContent xmlns:mc="http://schemas.openxmlformats.org/markup-compatibility/2006">
          <mc:Choice Requires="x14">
            <control shapeId="58383" r:id="rId16" name="Drop Down 15">
              <controlPr defaultSize="0" autoLine="0" autoPict="0">
                <anchor moveWithCells="1">
                  <from>
                    <xdr:col>7</xdr:col>
                    <xdr:colOff>393700</xdr:colOff>
                    <xdr:row>44</xdr:row>
                    <xdr:rowOff>0</xdr:rowOff>
                  </from>
                  <to>
                    <xdr:col>9</xdr:col>
                    <xdr:colOff>457200</xdr:colOff>
                    <xdr:row>45</xdr:row>
                    <xdr:rowOff>38100</xdr:rowOff>
                  </to>
                </anchor>
              </controlPr>
            </control>
          </mc:Choice>
          <mc:Fallback/>
        </mc:AlternateContent>
        <mc:AlternateContent xmlns:mc="http://schemas.openxmlformats.org/markup-compatibility/2006">
          <mc:Choice Requires="x14">
            <control shapeId="58384" r:id="rId17" name="Drop Down 16">
              <controlPr defaultSize="0" autoLine="0" autoPict="0">
                <anchor moveWithCells="1">
                  <from>
                    <xdr:col>2</xdr:col>
                    <xdr:colOff>228600</xdr:colOff>
                    <xdr:row>49</xdr:row>
                    <xdr:rowOff>63500</xdr:rowOff>
                  </from>
                  <to>
                    <xdr:col>7</xdr:col>
                    <xdr:colOff>88900</xdr:colOff>
                    <xdr:row>50</xdr:row>
                    <xdr:rowOff>139700</xdr:rowOff>
                  </to>
                </anchor>
              </controlPr>
            </control>
          </mc:Choice>
          <mc:Fallback/>
        </mc:AlternateContent>
        <mc:AlternateContent xmlns:mc="http://schemas.openxmlformats.org/markup-compatibility/2006">
          <mc:Choice Requires="x14">
            <control shapeId="58385" r:id="rId18" name="Spinner 17">
              <controlPr defaultSize="0" autoPict="0">
                <anchor moveWithCells="1" sizeWithCells="1">
                  <from>
                    <xdr:col>10</xdr:col>
                    <xdr:colOff>254000</xdr:colOff>
                    <xdr:row>59</xdr:row>
                    <xdr:rowOff>50800</xdr:rowOff>
                  </from>
                  <to>
                    <xdr:col>10</xdr:col>
                    <xdr:colOff>469900</xdr:colOff>
                    <xdr:row>60</xdr:row>
                    <xdr:rowOff>101600</xdr:rowOff>
                  </to>
                </anchor>
              </controlPr>
            </control>
          </mc:Choice>
          <mc:Fallback/>
        </mc:AlternateContent>
        <mc:AlternateContent xmlns:mc="http://schemas.openxmlformats.org/markup-compatibility/2006">
          <mc:Choice Requires="x14">
            <control shapeId="58386" r:id="rId19" name="Drop Down 18">
              <controlPr defaultSize="0" autoLine="0" autoPict="0">
                <anchor moveWithCells="1">
                  <from>
                    <xdr:col>4</xdr:col>
                    <xdr:colOff>469900</xdr:colOff>
                    <xdr:row>75</xdr:row>
                    <xdr:rowOff>50800</xdr:rowOff>
                  </from>
                  <to>
                    <xdr:col>6</xdr:col>
                    <xdr:colOff>495300</xdr:colOff>
                    <xdr:row>76</xdr:row>
                    <xdr:rowOff>76200</xdr:rowOff>
                  </to>
                </anchor>
              </controlPr>
            </control>
          </mc:Choice>
          <mc:Fallback/>
        </mc:AlternateContent>
        <mc:AlternateContent xmlns:mc="http://schemas.openxmlformats.org/markup-compatibility/2006">
          <mc:Choice Requires="x14">
            <control shapeId="58387" r:id="rId20" name="Drop Down 19">
              <controlPr defaultSize="0" autoLine="0" autoPict="0">
                <anchor moveWithCells="1">
                  <from>
                    <xdr:col>2</xdr:col>
                    <xdr:colOff>50800</xdr:colOff>
                    <xdr:row>79</xdr:row>
                    <xdr:rowOff>25400</xdr:rowOff>
                  </from>
                  <to>
                    <xdr:col>4</xdr:col>
                    <xdr:colOff>76200</xdr:colOff>
                    <xdr:row>80</xdr:row>
                    <xdr:rowOff>50800</xdr:rowOff>
                  </to>
                </anchor>
              </controlPr>
            </control>
          </mc:Choice>
          <mc:Fallback/>
        </mc:AlternateContent>
        <mc:AlternateContent xmlns:mc="http://schemas.openxmlformats.org/markup-compatibility/2006">
          <mc:Choice Requires="x14">
            <control shapeId="58388" r:id="rId21" name="Drop Down 20">
              <controlPr defaultSize="0" autoLine="0" autoPict="0">
                <anchor moveWithCells="1">
                  <from>
                    <xdr:col>2</xdr:col>
                    <xdr:colOff>50800</xdr:colOff>
                    <xdr:row>83</xdr:row>
                    <xdr:rowOff>25400</xdr:rowOff>
                  </from>
                  <to>
                    <xdr:col>4</xdr:col>
                    <xdr:colOff>76200</xdr:colOff>
                    <xdr:row>84</xdr:row>
                    <xdr:rowOff>50800</xdr:rowOff>
                  </to>
                </anchor>
              </controlPr>
            </control>
          </mc:Choice>
          <mc:Fallback/>
        </mc:AlternateContent>
        <mc:AlternateContent xmlns:mc="http://schemas.openxmlformats.org/markup-compatibility/2006">
          <mc:Choice Requires="x14">
            <control shapeId="58389" r:id="rId22" name="Drop Down 21">
              <controlPr defaultSize="0" autoLine="0" autoPict="0">
                <anchor moveWithCells="1">
                  <from>
                    <xdr:col>2</xdr:col>
                    <xdr:colOff>355600</xdr:colOff>
                    <xdr:row>88</xdr:row>
                    <xdr:rowOff>25400</xdr:rowOff>
                  </from>
                  <to>
                    <xdr:col>5</xdr:col>
                    <xdr:colOff>609600</xdr:colOff>
                    <xdr:row>89</xdr:row>
                    <xdr:rowOff>50800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79998168889431442"/>
  </sheetPr>
  <dimension ref="A1:T993"/>
  <sheetViews>
    <sheetView workbookViewId="0">
      <pane ySplit="4540" topLeftCell="A16" activePane="bottomLeft"/>
      <selection activeCell="A70" sqref="A70"/>
      <selection pane="bottomLeft" activeCell="H4" sqref="H4"/>
    </sheetView>
  </sheetViews>
  <sheetFormatPr baseColWidth="10" defaultColWidth="8.83203125" defaultRowHeight="13" x14ac:dyDescent="0"/>
  <cols>
    <col min="1" max="1" width="8.83203125" style="173"/>
    <col min="2" max="2" width="8.83203125" style="144"/>
    <col min="3" max="13" width="8.83203125" style="136"/>
    <col min="14" max="14" width="8.83203125" style="175"/>
    <col min="15" max="15" width="8.83203125" style="174"/>
    <col min="16" max="20" width="8.83203125" style="173"/>
  </cols>
  <sheetData>
    <row r="1" spans="1:15" ht="13.5" customHeight="1">
      <c r="A1" s="171"/>
      <c r="B1" s="201" t="str">
        <f>CSSols!B1</f>
        <v>The following athletes are providing individualized athletic training.  A lesson is two hours per week.  The names of the athletes are listed along with their opportunity cost for providing the lesson.  The opportunity cost measures the maximum the athlete could earn doing something else.</v>
      </c>
      <c r="C1" s="202"/>
      <c r="D1" s="202"/>
      <c r="E1" s="202"/>
      <c r="F1" s="202"/>
      <c r="G1" s="202"/>
      <c r="H1" s="202"/>
      <c r="I1" s="202"/>
      <c r="J1" s="202"/>
      <c r="K1" s="202"/>
      <c r="L1" s="202"/>
      <c r="M1" s="165"/>
      <c r="N1" s="174"/>
      <c r="O1" s="173"/>
    </row>
    <row r="2" spans="1:15" ht="12">
      <c r="A2" s="171"/>
      <c r="B2" s="202"/>
      <c r="C2" s="202"/>
      <c r="D2" s="202"/>
      <c r="E2" s="202"/>
      <c r="F2" s="202"/>
      <c r="G2" s="202"/>
      <c r="H2" s="202"/>
      <c r="I2" s="202"/>
      <c r="J2" s="202"/>
      <c r="K2" s="202"/>
      <c r="L2" s="202"/>
      <c r="M2" s="165"/>
      <c r="N2" s="174"/>
      <c r="O2" s="173"/>
    </row>
    <row r="3" spans="1:15" ht="17.5" customHeight="1">
      <c r="A3" s="171"/>
      <c r="B3" s="202"/>
      <c r="C3" s="202"/>
      <c r="D3" s="202"/>
      <c r="E3" s="202"/>
      <c r="F3" s="202"/>
      <c r="G3" s="202"/>
      <c r="H3" s="202"/>
      <c r="I3" s="202"/>
      <c r="J3" s="202"/>
      <c r="K3" s="202"/>
      <c r="L3" s="202"/>
      <c r="M3" s="165"/>
      <c r="N3" s="174"/>
      <c r="O3" s="173"/>
    </row>
    <row r="4" spans="1:15">
      <c r="A4" s="171"/>
      <c r="B4" s="136"/>
      <c r="G4" s="137"/>
      <c r="H4" s="138"/>
      <c r="N4" s="174"/>
      <c r="O4" s="173"/>
    </row>
    <row r="5" spans="1:15">
      <c r="A5" s="171"/>
      <c r="B5" s="137" t="s">
        <v>263</v>
      </c>
      <c r="D5" s="139" t="s">
        <v>60</v>
      </c>
      <c r="N5" s="174"/>
      <c r="O5" s="173"/>
    </row>
    <row r="6" spans="1:15">
      <c r="A6" s="171"/>
      <c r="B6" s="136" t="s">
        <v>18</v>
      </c>
      <c r="D6" s="140">
        <f>CSSols!C6</f>
        <v>60.1</v>
      </c>
      <c r="F6" s="136" t="s">
        <v>193</v>
      </c>
      <c r="N6" s="174"/>
      <c r="O6" s="173"/>
    </row>
    <row r="7" spans="1:15">
      <c r="A7" s="171"/>
      <c r="B7" s="136" t="s">
        <v>22</v>
      </c>
      <c r="D7" s="140">
        <f>CSSols!C7</f>
        <v>38.700000000000003</v>
      </c>
      <c r="F7" s="136" t="s">
        <v>194</v>
      </c>
      <c r="N7" s="174"/>
      <c r="O7" s="173"/>
    </row>
    <row r="8" spans="1:15">
      <c r="A8" s="171"/>
      <c r="B8" s="136" t="s">
        <v>15</v>
      </c>
      <c r="D8" s="140">
        <f>CSSols!C8</f>
        <v>22.3</v>
      </c>
      <c r="F8" s="141" t="s">
        <v>45</v>
      </c>
      <c r="N8" s="174"/>
      <c r="O8" s="173"/>
    </row>
    <row r="9" spans="1:15">
      <c r="A9" s="171"/>
      <c r="B9" s="136" t="s">
        <v>16</v>
      </c>
      <c r="D9" s="140">
        <f>CSSols!C9</f>
        <v>89</v>
      </c>
      <c r="N9" s="174"/>
      <c r="O9" s="173"/>
    </row>
    <row r="10" spans="1:15">
      <c r="A10" s="171"/>
      <c r="B10" s="136" t="s">
        <v>17</v>
      </c>
      <c r="D10" s="140">
        <f>CSSols!C10</f>
        <v>70.5</v>
      </c>
      <c r="N10" s="174"/>
      <c r="O10" s="173"/>
    </row>
    <row r="11" spans="1:15">
      <c r="A11" s="171"/>
      <c r="B11" s="136"/>
      <c r="N11" s="174"/>
      <c r="O11" s="173"/>
    </row>
    <row r="12" spans="1:15">
      <c r="A12" s="171"/>
      <c r="B12" s="136"/>
      <c r="N12" s="174"/>
      <c r="O12" s="173"/>
    </row>
    <row r="13" spans="1:15">
      <c r="A13" s="171"/>
      <c r="B13" s="136"/>
      <c r="N13" s="174"/>
      <c r="O13" s="173"/>
    </row>
    <row r="14" spans="1:15">
      <c r="A14" s="171"/>
      <c r="B14" s="136"/>
      <c r="N14" s="174"/>
      <c r="O14" s="173"/>
    </row>
    <row r="15" spans="1:15">
      <c r="A15" s="171"/>
      <c r="B15" s="136"/>
      <c r="N15" s="174"/>
      <c r="O15" s="173"/>
    </row>
    <row r="16" spans="1:15">
      <c r="A16" s="171"/>
      <c r="B16" s="136"/>
      <c r="N16" s="174"/>
      <c r="O16" s="173"/>
    </row>
    <row r="17" spans="1:15">
      <c r="A17" s="172" t="s">
        <v>31</v>
      </c>
      <c r="B17" s="136" t="s">
        <v>318</v>
      </c>
      <c r="N17" s="174"/>
      <c r="O17" s="173"/>
    </row>
    <row r="18" spans="1:15">
      <c r="A18" s="171"/>
      <c r="B18" s="136" t="s">
        <v>319</v>
      </c>
      <c r="N18" s="174"/>
      <c r="O18" s="173"/>
    </row>
    <row r="19" spans="1:15">
      <c r="A19" s="171"/>
      <c r="B19" s="136"/>
      <c r="C19" s="136" t="s">
        <v>320</v>
      </c>
      <c r="E19" s="140">
        <f>CSSols!C19</f>
        <v>74.55</v>
      </c>
      <c r="N19" s="174"/>
      <c r="O19" s="173"/>
    </row>
    <row r="20" spans="1:15">
      <c r="A20" s="171"/>
      <c r="B20" s="136"/>
      <c r="N20" s="174"/>
      <c r="O20" s="173"/>
    </row>
    <row r="21" spans="1:15" ht="18" customHeight="1">
      <c r="A21" s="171"/>
      <c r="B21" s="136" t="str">
        <f>CSSols!B21</f>
        <v>Kobe</v>
      </c>
      <c r="D21" s="136">
        <f>IF(CSSols!J21=1,"X",0)</f>
        <v>0</v>
      </c>
      <c r="E21" s="136">
        <f>CSSols!D21</f>
        <v>0</v>
      </c>
      <c r="N21" s="174"/>
      <c r="O21" s="173"/>
    </row>
    <row r="22" spans="1:15" ht="18" customHeight="1">
      <c r="A22" s="171"/>
      <c r="B22" s="136" t="str">
        <f>CSSols!B22</f>
        <v>Mickey</v>
      </c>
      <c r="D22" s="136">
        <f>IF(CSSols!J22=1,"X",0)</f>
        <v>0</v>
      </c>
      <c r="E22" s="136">
        <f>CSSols!D22</f>
        <v>0</v>
      </c>
      <c r="N22" s="174"/>
      <c r="O22" s="173"/>
    </row>
    <row r="23" spans="1:15" ht="18" customHeight="1">
      <c r="A23" s="171"/>
      <c r="B23" s="136" t="str">
        <f>CSSols!B23</f>
        <v>Serena</v>
      </c>
      <c r="D23" s="136">
        <f>IF(CSSols!J23=1,"X",0)</f>
        <v>0</v>
      </c>
      <c r="E23" s="136">
        <f>CSSols!D23</f>
        <v>0</v>
      </c>
      <c r="N23" s="174"/>
      <c r="O23" s="173"/>
    </row>
    <row r="24" spans="1:15" ht="18" customHeight="1">
      <c r="A24" s="171"/>
      <c r="B24" s="136" t="str">
        <f>CSSols!B24</f>
        <v>Tiger</v>
      </c>
      <c r="D24" s="136">
        <f>IF(CSSols!J24=1,"X",0)</f>
        <v>0</v>
      </c>
      <c r="E24" s="136">
        <f>CSSols!D24</f>
        <v>0</v>
      </c>
      <c r="N24" s="174"/>
      <c r="O24" s="173"/>
    </row>
    <row r="25" spans="1:15" ht="18" customHeight="1">
      <c r="A25" s="171"/>
      <c r="B25" s="136" t="str">
        <f>CSSols!B25</f>
        <v>Venus</v>
      </c>
      <c r="D25" s="136">
        <f>IF(CSSols!J25=1,"X",0)</f>
        <v>0</v>
      </c>
      <c r="E25" s="136">
        <f>CSSols!D25</f>
        <v>0</v>
      </c>
      <c r="N25" s="174"/>
      <c r="O25" s="173"/>
    </row>
    <row r="26" spans="1:15" ht="18" customHeight="1">
      <c r="A26" s="171"/>
      <c r="B26" s="137" t="s">
        <v>321</v>
      </c>
      <c r="D26" s="136" t="str">
        <f>IF(CSSols!G26=1,"Yes","No")</f>
        <v>Yes</v>
      </c>
      <c r="N26" s="174"/>
      <c r="O26" s="173"/>
    </row>
    <row r="27" spans="1:15">
      <c r="A27" s="171"/>
      <c r="B27" s="136"/>
      <c r="N27" s="174"/>
      <c r="O27" s="173"/>
    </row>
    <row r="28" spans="1:15">
      <c r="A28" s="171"/>
      <c r="B28" s="136"/>
      <c r="N28" s="174"/>
      <c r="O28" s="173"/>
    </row>
    <row r="29" spans="1:15">
      <c r="A29" s="171"/>
      <c r="B29" s="136">
        <f>IF(AND(CSSols!H21=CSSols!J21,CSSols!H22=CSSols!J22,CSSols!H23=CSSols!J23,CSSols!H24=CSSols!J24,CSSols!H25=CSSols!J25,CSSols!H27=1),CSSols!B29,0)</f>
        <v>0</v>
      </c>
      <c r="G29" s="140">
        <f>IF(AND(CSSols!H21=CSSols!J21,CSSols!H22=CSSols!J22,CSSols!H23=CSSols!J23,CSSols!H24=CSSols!J24,CSSols!H25=CSSols!J25,CSSols!H27=1),CSSols!E29,0)</f>
        <v>0</v>
      </c>
      <c r="H29" s="136">
        <f>IF(AND(CSSols!H21=CSSols!J21,CSSols!H22=CSSols!J22,CSSols!H23=CSSols!J23,CSSols!H24=CSSols!J24,CSSols!H25=CSSols!J25,CSSols!H27=1)," is",0)</f>
        <v>0</v>
      </c>
      <c r="N29" s="174"/>
      <c r="O29" s="173"/>
    </row>
    <row r="30" spans="1:15">
      <c r="A30" s="171"/>
      <c r="B30" s="136"/>
      <c r="N30" s="174"/>
      <c r="O30" s="173"/>
    </row>
    <row r="31" spans="1:15">
      <c r="A31" s="171"/>
      <c r="B31" s="136"/>
      <c r="I31" s="136">
        <f>CSSols!F31</f>
        <v>0</v>
      </c>
      <c r="N31" s="174"/>
      <c r="O31" s="173"/>
    </row>
    <row r="32" spans="1:15">
      <c r="A32" s="171"/>
      <c r="B32" s="136"/>
      <c r="N32" s="174"/>
      <c r="O32" s="173"/>
    </row>
    <row r="33" spans="1:15">
      <c r="A33" s="171"/>
      <c r="B33" s="203">
        <f>IF(I31="Correct",CSSols!B33,0)</f>
        <v>0</v>
      </c>
      <c r="C33" s="204"/>
      <c r="D33" s="204"/>
      <c r="E33" s="204"/>
      <c r="F33" s="204"/>
      <c r="G33" s="204"/>
      <c r="H33" s="204"/>
      <c r="I33" s="204"/>
      <c r="J33" s="204"/>
      <c r="K33" s="204"/>
      <c r="N33" s="174"/>
      <c r="O33" s="173"/>
    </row>
    <row r="34" spans="1:15">
      <c r="A34" s="171"/>
      <c r="B34" s="205"/>
      <c r="C34" s="204"/>
      <c r="D34" s="204"/>
      <c r="E34" s="204"/>
      <c r="F34" s="204"/>
      <c r="G34" s="204"/>
      <c r="H34" s="204"/>
      <c r="I34" s="204"/>
      <c r="J34" s="204"/>
      <c r="K34" s="204"/>
      <c r="N34" s="174"/>
      <c r="O34" s="173"/>
    </row>
    <row r="35" spans="1:15">
      <c r="A35" s="171"/>
      <c r="B35" s="136"/>
      <c r="C35" s="142">
        <f>IF(I31="Correct","New price = ",0)</f>
        <v>0</v>
      </c>
      <c r="D35" s="140">
        <f>IF(I31="Correct",CSSols!C35,0)</f>
        <v>0</v>
      </c>
      <c r="N35" s="174"/>
      <c r="O35" s="173"/>
    </row>
    <row r="36" spans="1:15">
      <c r="A36" s="171"/>
      <c r="B36" s="136"/>
      <c r="N36" s="174"/>
      <c r="O36" s="173"/>
    </row>
    <row r="37" spans="1:15" ht="18" customHeight="1">
      <c r="A37" s="171"/>
      <c r="B37" s="136" t="str">
        <f>CSSols!B37</f>
        <v>Kobe</v>
      </c>
      <c r="D37" s="136">
        <f>IF(CSSols!J37=1,"X",0)</f>
        <v>0</v>
      </c>
      <c r="E37" s="136">
        <f>CSSols!D37</f>
        <v>0</v>
      </c>
      <c r="N37" s="174"/>
      <c r="O37" s="173"/>
    </row>
    <row r="38" spans="1:15" ht="18" customHeight="1">
      <c r="A38" s="171"/>
      <c r="B38" s="136" t="str">
        <f>CSSols!B38</f>
        <v>Mickey</v>
      </c>
      <c r="D38" s="136">
        <f>IF(CSSols!J38=1,"X",0)</f>
        <v>0</v>
      </c>
      <c r="E38" s="136">
        <f>CSSols!D38</f>
        <v>0</v>
      </c>
      <c r="N38" s="174"/>
      <c r="O38" s="173"/>
    </row>
    <row r="39" spans="1:15" ht="18" customHeight="1">
      <c r="A39" s="171"/>
      <c r="B39" s="136" t="str">
        <f>CSSols!B39</f>
        <v>Serena</v>
      </c>
      <c r="D39" s="136">
        <f>IF(CSSols!J39=1,"X",0)</f>
        <v>0</v>
      </c>
      <c r="E39" s="136">
        <f>CSSols!D39</f>
        <v>0</v>
      </c>
      <c r="N39" s="174"/>
      <c r="O39" s="173"/>
    </row>
    <row r="40" spans="1:15" ht="18" customHeight="1">
      <c r="A40" s="171"/>
      <c r="B40" s="136" t="str">
        <f>CSSols!B40</f>
        <v>Tiger</v>
      </c>
      <c r="D40" s="136">
        <f>IF(CSSols!J40=1,"X",0)</f>
        <v>0</v>
      </c>
      <c r="E40" s="136">
        <f>CSSols!D40</f>
        <v>0</v>
      </c>
      <c r="N40" s="174"/>
      <c r="O40" s="173"/>
    </row>
    <row r="41" spans="1:15" ht="18" customHeight="1">
      <c r="A41" s="171"/>
      <c r="B41" s="136" t="str">
        <f>CSSols!B41</f>
        <v>Venus</v>
      </c>
      <c r="D41" s="136">
        <f>IF(CSSols!J41=1,"X",0)</f>
        <v>0</v>
      </c>
      <c r="E41" s="136">
        <f>CSSols!D41</f>
        <v>0</v>
      </c>
      <c r="N41" s="174"/>
      <c r="O41" s="173"/>
    </row>
    <row r="42" spans="1:15" ht="18" customHeight="1">
      <c r="A42" s="171"/>
      <c r="B42" s="137" t="s">
        <v>321</v>
      </c>
      <c r="D42" s="136" t="str">
        <f>IF(CSSols!H43=1,"Yes","No")</f>
        <v>No</v>
      </c>
      <c r="N42" s="174"/>
      <c r="O42" s="173"/>
    </row>
    <row r="43" spans="1:15">
      <c r="A43" s="171"/>
      <c r="B43" s="136"/>
      <c r="N43" s="174"/>
      <c r="O43" s="173"/>
    </row>
    <row r="44" spans="1:15">
      <c r="A44" s="171"/>
      <c r="B44" s="136"/>
      <c r="N44" s="174"/>
      <c r="O44" s="173"/>
    </row>
    <row r="45" spans="1:15">
      <c r="A45" s="171"/>
      <c r="B45" s="136">
        <f>IF(AND(E37="Correct",E38="Correct",E39="Correct",E40="Correct",E41="Correct"),CSSols!B45,0)</f>
        <v>0</v>
      </c>
      <c r="G45" s="140">
        <f>IF(AND(E37="Correct",E38="Correct",E39="Correct",E40="Correct",E41="Correct"),CSSols!E45,0)</f>
        <v>0</v>
      </c>
      <c r="H45" s="136">
        <f>IF(AND(E37="Correct",E38="Correct",E39="Correct",E40="Correct",E41="Correct")," is",0)</f>
        <v>0</v>
      </c>
      <c r="N45" s="174"/>
      <c r="O45" s="173"/>
    </row>
    <row r="46" spans="1:15">
      <c r="A46" s="171"/>
      <c r="B46" s="136"/>
      <c r="N46" s="174"/>
      <c r="O46" s="173"/>
    </row>
    <row r="47" spans="1:15">
      <c r="A47" s="171"/>
      <c r="B47" s="136"/>
      <c r="I47" s="136">
        <f>CSSols!F47</f>
        <v>0</v>
      </c>
      <c r="N47" s="174"/>
      <c r="O47" s="173"/>
    </row>
    <row r="48" spans="1:15">
      <c r="A48" s="171"/>
      <c r="B48" s="136"/>
      <c r="N48" s="174"/>
      <c r="O48" s="173"/>
    </row>
    <row r="49" spans="1:15">
      <c r="A49" s="171"/>
      <c r="B49" s="136">
        <f>IF(I47="Correct",CSSols!B49,0)</f>
        <v>0</v>
      </c>
      <c r="N49" s="174"/>
      <c r="O49" s="173"/>
    </row>
    <row r="50" spans="1:15">
      <c r="A50" s="171"/>
      <c r="B50" s="136"/>
      <c r="N50" s="174"/>
      <c r="O50" s="173"/>
    </row>
    <row r="51" spans="1:15">
      <c r="A51" s="171"/>
      <c r="B51" s="136"/>
      <c r="I51" s="136">
        <f>CSSols!F51</f>
        <v>0</v>
      </c>
      <c r="N51" s="174"/>
      <c r="O51" s="173"/>
    </row>
    <row r="52" spans="1:15">
      <c r="A52" s="171"/>
      <c r="B52" s="136"/>
      <c r="N52" s="174"/>
      <c r="O52" s="173"/>
    </row>
    <row r="53" spans="1:15">
      <c r="A53" s="171"/>
      <c r="B53" s="203">
        <f>IF(I51="Correct",CSSols!B53,0)</f>
        <v>0</v>
      </c>
      <c r="C53" s="204"/>
      <c r="D53" s="204"/>
      <c r="E53" s="204"/>
      <c r="F53" s="204"/>
      <c r="G53" s="204"/>
      <c r="H53" s="204"/>
      <c r="I53" s="204"/>
      <c r="J53" s="204"/>
      <c r="N53" s="174"/>
      <c r="O53" s="173"/>
    </row>
    <row r="54" spans="1:15">
      <c r="A54" s="171"/>
      <c r="B54" s="205"/>
      <c r="C54" s="204"/>
      <c r="D54" s="204"/>
      <c r="E54" s="204"/>
      <c r="F54" s="204"/>
      <c r="G54" s="204"/>
      <c r="H54" s="204"/>
      <c r="I54" s="204"/>
      <c r="J54" s="204"/>
      <c r="N54" s="174"/>
      <c r="O54" s="173"/>
    </row>
    <row r="55" spans="1:15">
      <c r="A55" s="171"/>
      <c r="B55" s="136"/>
      <c r="N55" s="174"/>
      <c r="O55" s="173"/>
    </row>
    <row r="56" spans="1:15">
      <c r="A56" s="171"/>
      <c r="B56" s="136"/>
      <c r="N56" s="174"/>
      <c r="O56" s="173"/>
    </row>
    <row r="57" spans="1:15">
      <c r="A57" s="171"/>
      <c r="B57" s="136"/>
      <c r="N57" s="174"/>
      <c r="O57" s="173"/>
    </row>
    <row r="58" spans="1:15">
      <c r="A58" s="171"/>
      <c r="B58" s="136"/>
      <c r="N58" s="174"/>
      <c r="O58" s="173"/>
    </row>
    <row r="59" spans="1:15">
      <c r="A59" s="171"/>
      <c r="B59" s="136"/>
      <c r="K59" s="137" t="s">
        <v>44</v>
      </c>
      <c r="N59" s="174"/>
      <c r="O59" s="173"/>
    </row>
    <row r="60" spans="1:15">
      <c r="A60" s="171"/>
      <c r="B60" s="136"/>
      <c r="L60" s="140">
        <f>CSSols!I$58</f>
        <v>30.8</v>
      </c>
      <c r="N60" s="174"/>
      <c r="O60" s="173"/>
    </row>
    <row r="61" spans="1:15">
      <c r="A61" s="171"/>
      <c r="B61" s="136"/>
      <c r="N61" s="174"/>
      <c r="O61" s="173"/>
    </row>
    <row r="62" spans="1:15">
      <c r="A62" s="171"/>
      <c r="B62" s="136"/>
      <c r="N62" s="174"/>
      <c r="O62" s="173"/>
    </row>
    <row r="63" spans="1:15">
      <c r="A63" s="171"/>
      <c r="B63" s="136"/>
      <c r="N63" s="174"/>
      <c r="O63" s="173"/>
    </row>
    <row r="64" spans="1:15">
      <c r="A64" s="171"/>
      <c r="B64" s="136"/>
      <c r="N64" s="174"/>
      <c r="O64" s="173"/>
    </row>
    <row r="65" spans="1:15">
      <c r="A65" s="171"/>
      <c r="B65" s="136"/>
      <c r="N65" s="174"/>
      <c r="O65" s="173"/>
    </row>
    <row r="66" spans="1:15">
      <c r="A66" s="171"/>
      <c r="B66" s="136"/>
      <c r="N66" s="174"/>
      <c r="O66" s="173"/>
    </row>
    <row r="67" spans="1:15">
      <c r="A67" s="171"/>
      <c r="B67" s="136"/>
      <c r="N67" s="174"/>
      <c r="O67" s="173"/>
    </row>
    <row r="68" spans="1:15">
      <c r="A68" s="171"/>
      <c r="B68" s="136"/>
      <c r="N68" s="174"/>
      <c r="O68" s="173"/>
    </row>
    <row r="69" spans="1:15">
      <c r="A69" s="171"/>
      <c r="B69" s="136"/>
      <c r="N69" s="174"/>
      <c r="O69" s="173"/>
    </row>
    <row r="70" spans="1:15">
      <c r="A70" s="180"/>
      <c r="B70" s="136"/>
      <c r="N70" s="174"/>
      <c r="O70" s="173"/>
    </row>
    <row r="71" spans="1:15">
      <c r="A71" s="171"/>
      <c r="B71" s="136"/>
      <c r="N71" s="174"/>
      <c r="O71" s="173"/>
    </row>
    <row r="72" spans="1:15">
      <c r="A72" s="172" t="s">
        <v>43</v>
      </c>
      <c r="B72" s="203">
        <f>IF(I51="Correct","To make the graph appear in the upper frame, click the link there.  Use the Select Price button to help visualize the answers to the following questions.",0)</f>
        <v>0</v>
      </c>
      <c r="C72" s="204"/>
      <c r="D72" s="204"/>
      <c r="E72" s="204"/>
      <c r="F72" s="204"/>
      <c r="G72" s="204"/>
      <c r="H72" s="204"/>
      <c r="I72" s="204"/>
      <c r="J72" s="204"/>
      <c r="K72" s="204"/>
      <c r="N72" s="174"/>
      <c r="O72" s="173"/>
    </row>
    <row r="73" spans="1:15">
      <c r="A73" s="171"/>
      <c r="B73" s="205"/>
      <c r="C73" s="204"/>
      <c r="D73" s="204"/>
      <c r="E73" s="204"/>
      <c r="F73" s="204"/>
      <c r="G73" s="204"/>
      <c r="H73" s="204"/>
      <c r="I73" s="204"/>
      <c r="J73" s="204"/>
      <c r="K73" s="204"/>
      <c r="N73" s="174"/>
      <c r="O73" s="173"/>
    </row>
    <row r="74" spans="1:15">
      <c r="A74" s="171"/>
      <c r="B74" s="136"/>
      <c r="N74" s="174"/>
      <c r="O74" s="173"/>
    </row>
    <row r="75" spans="1:15">
      <c r="A75" s="171"/>
      <c r="B75" s="136">
        <f>IF(I51="Correct",CSSols!B75,0)</f>
        <v>0</v>
      </c>
      <c r="F75" s="137">
        <f>IF(I51="Correct",CSSols!D75,0)</f>
        <v>0</v>
      </c>
      <c r="H75" s="136">
        <f>IF(I51="Correct",CSSols!F75,0)</f>
        <v>0</v>
      </c>
      <c r="N75" s="174"/>
      <c r="O75" s="173"/>
    </row>
    <row r="76" spans="1:15">
      <c r="A76" s="171"/>
      <c r="B76" s="137">
        <f>IF(I51="Correct",CSSols!B76,0)</f>
        <v>0</v>
      </c>
      <c r="D76" s="136">
        <f>IF(I51="Correct",CSSols!C76,0)</f>
        <v>0</v>
      </c>
      <c r="N76" s="174"/>
      <c r="O76" s="173"/>
    </row>
    <row r="77" spans="1:15">
      <c r="A77" s="171"/>
      <c r="B77" s="136"/>
      <c r="J77" s="136">
        <f>CSSols!F76</f>
        <v>0</v>
      </c>
      <c r="N77" s="174"/>
      <c r="O77" s="173"/>
    </row>
    <row r="78" spans="1:15">
      <c r="A78" s="171"/>
      <c r="B78" s="136"/>
      <c r="N78" s="174"/>
      <c r="O78" s="173"/>
    </row>
    <row r="79" spans="1:15">
      <c r="A79" s="171"/>
      <c r="B79" s="136">
        <f>IF(J77="Correct",CSSols!B79,0)</f>
        <v>0</v>
      </c>
      <c r="F79" s="137">
        <f>IF(J77="Correct",CSSols!D79,0)</f>
        <v>0</v>
      </c>
      <c r="H79" s="136">
        <f>IF(J77="Correct",CSSols!F79,0)</f>
        <v>0</v>
      </c>
      <c r="N79" s="174"/>
      <c r="O79" s="173"/>
    </row>
    <row r="80" spans="1:15">
      <c r="A80" s="171"/>
      <c r="B80" s="136">
        <f>IF(J77="Correct","is",0)</f>
        <v>0</v>
      </c>
      <c r="N80" s="174"/>
      <c r="O80" s="173"/>
    </row>
    <row r="81" spans="1:15">
      <c r="A81" s="171"/>
      <c r="B81" s="136"/>
      <c r="F81" s="136">
        <f>CSSols!C80</f>
        <v>0</v>
      </c>
      <c r="N81" s="174"/>
      <c r="O81" s="173"/>
    </row>
    <row r="82" spans="1:15">
      <c r="A82" s="171"/>
      <c r="B82" s="136"/>
      <c r="N82" s="174"/>
      <c r="O82" s="173"/>
    </row>
    <row r="83" spans="1:15">
      <c r="A83" s="171"/>
      <c r="B83" s="136">
        <f>IF(F81="Correct",CSSols!B83,0)</f>
        <v>0</v>
      </c>
      <c r="F83" s="137">
        <f>IF(F81="Correct",CSSols!D83,0)</f>
        <v>0</v>
      </c>
      <c r="H83" s="136">
        <f>IF(F81="Correct",CSSols!F83,0)</f>
        <v>0</v>
      </c>
      <c r="N83" s="174"/>
      <c r="O83" s="173"/>
    </row>
    <row r="84" spans="1:15">
      <c r="A84" s="171"/>
      <c r="B84" s="136">
        <f>IF(F81="Correct","is",0)</f>
        <v>0</v>
      </c>
      <c r="N84" s="174"/>
      <c r="O84" s="173"/>
    </row>
    <row r="85" spans="1:15">
      <c r="A85" s="171"/>
      <c r="B85" s="136"/>
      <c r="F85" s="136">
        <f>CSSols!C84</f>
        <v>0</v>
      </c>
      <c r="N85" s="174"/>
      <c r="O85" s="173"/>
    </row>
    <row r="86" spans="1:15">
      <c r="A86" s="171"/>
      <c r="B86" s="136"/>
      <c r="N86" s="174"/>
      <c r="O86" s="173"/>
    </row>
    <row r="87" spans="1:15">
      <c r="A87" s="171"/>
      <c r="B87" s="203">
        <f>IF(F85="Correct",CSSols!B87,0)</f>
        <v>0</v>
      </c>
      <c r="C87" s="204"/>
      <c r="D87" s="204"/>
      <c r="E87" s="204"/>
      <c r="F87" s="204"/>
      <c r="G87" s="204"/>
      <c r="H87" s="204"/>
      <c r="I87" s="204"/>
      <c r="J87" s="204"/>
      <c r="K87" s="204"/>
      <c r="N87" s="174"/>
      <c r="O87" s="173"/>
    </row>
    <row r="88" spans="1:15">
      <c r="A88" s="171"/>
      <c r="B88" s="205"/>
      <c r="C88" s="204"/>
      <c r="D88" s="204"/>
      <c r="E88" s="204"/>
      <c r="F88" s="204"/>
      <c r="G88" s="204"/>
      <c r="H88" s="204"/>
      <c r="I88" s="204"/>
      <c r="J88" s="204"/>
      <c r="K88" s="204"/>
      <c r="N88" s="174"/>
      <c r="O88" s="173"/>
    </row>
    <row r="89" spans="1:15">
      <c r="A89" s="171"/>
      <c r="B89" s="136"/>
      <c r="N89" s="174"/>
      <c r="O89" s="173"/>
    </row>
    <row r="90" spans="1:15">
      <c r="A90" s="171"/>
      <c r="B90" s="136"/>
      <c r="H90" s="136">
        <f>CSSols!F90</f>
        <v>0</v>
      </c>
      <c r="N90" s="174"/>
      <c r="O90" s="173"/>
    </row>
    <row r="91" spans="1:15" ht="16">
      <c r="A91" s="171"/>
      <c r="B91" s="136"/>
      <c r="F91" s="143"/>
      <c r="N91" s="174"/>
      <c r="O91" s="173"/>
    </row>
    <row r="92" spans="1:15" ht="16">
      <c r="A92" s="171"/>
      <c r="B92" s="136"/>
      <c r="F92" s="143">
        <f>IF(AND(I47="Correct",I51="Correct", J77="Correct",F81="Correct",F85="Correct",H90="Correct"),"Very Good! Go to the next sheet.",0)</f>
        <v>0</v>
      </c>
      <c r="N92" s="174"/>
      <c r="O92" s="173"/>
    </row>
    <row r="93" spans="1:15">
      <c r="A93" s="171"/>
      <c r="B93" s="136"/>
      <c r="N93" s="174"/>
      <c r="O93" s="173"/>
    </row>
    <row r="94" spans="1:15">
      <c r="A94" s="171"/>
      <c r="B94" s="136"/>
      <c r="N94" s="174"/>
      <c r="O94" s="173"/>
    </row>
    <row r="95" spans="1:15">
      <c r="A95" s="171"/>
      <c r="B95" s="136"/>
      <c r="N95" s="174"/>
      <c r="O95" s="173"/>
    </row>
    <row r="96" spans="1:15">
      <c r="A96" s="171"/>
      <c r="B96" s="136"/>
      <c r="N96" s="174"/>
      <c r="O96" s="173"/>
    </row>
    <row r="97" spans="1:15">
      <c r="A97" s="171"/>
      <c r="B97" s="136"/>
      <c r="N97" s="174"/>
      <c r="O97" s="173"/>
    </row>
    <row r="98" spans="1:15">
      <c r="A98" s="171"/>
      <c r="B98" s="136"/>
      <c r="N98" s="174"/>
      <c r="O98" s="173"/>
    </row>
    <row r="99" spans="1:15">
      <c r="A99" s="171"/>
      <c r="B99" s="136"/>
      <c r="N99" s="174"/>
      <c r="O99" s="173"/>
    </row>
    <row r="100" spans="1:15">
      <c r="A100" s="171"/>
      <c r="B100" s="136"/>
      <c r="N100" s="174"/>
      <c r="O100" s="173"/>
    </row>
    <row r="101" spans="1:15">
      <c r="A101" s="171"/>
      <c r="B101" s="136"/>
      <c r="N101" s="174"/>
      <c r="O101" s="173"/>
    </row>
    <row r="102" spans="1:15">
      <c r="A102" s="171"/>
      <c r="B102" s="136"/>
      <c r="N102" s="174"/>
      <c r="O102" s="173"/>
    </row>
    <row r="103" spans="1:15">
      <c r="A103" s="171"/>
      <c r="B103" s="136"/>
      <c r="N103" s="174"/>
      <c r="O103" s="173"/>
    </row>
    <row r="104" spans="1:15">
      <c r="A104" s="171"/>
      <c r="B104" s="136"/>
      <c r="N104" s="174"/>
      <c r="O104" s="173"/>
    </row>
    <row r="105" spans="1:15">
      <c r="A105" s="171"/>
      <c r="B105" s="136"/>
      <c r="N105" s="174"/>
      <c r="O105" s="173"/>
    </row>
    <row r="106" spans="1:15">
      <c r="A106" s="171"/>
      <c r="B106" s="136"/>
      <c r="N106" s="174"/>
      <c r="O106" s="173"/>
    </row>
    <row r="107" spans="1:15">
      <c r="A107" s="171"/>
      <c r="B107" s="136"/>
      <c r="N107" s="174"/>
      <c r="O107" s="173"/>
    </row>
    <row r="108" spans="1:15">
      <c r="A108" s="171"/>
      <c r="B108" s="136"/>
      <c r="N108" s="174"/>
      <c r="O108" s="173"/>
    </row>
    <row r="109" spans="1:15">
      <c r="A109" s="171"/>
      <c r="B109" s="136"/>
      <c r="N109" s="174"/>
      <c r="O109" s="173"/>
    </row>
    <row r="110" spans="1:15">
      <c r="A110" s="171"/>
      <c r="B110" s="136"/>
      <c r="N110" s="174"/>
      <c r="O110" s="173"/>
    </row>
    <row r="111" spans="1:15">
      <c r="A111" s="171"/>
      <c r="B111" s="136"/>
      <c r="N111" s="174"/>
      <c r="O111" s="173"/>
    </row>
    <row r="112" spans="1:15">
      <c r="A112" s="171"/>
      <c r="B112" s="136"/>
      <c r="N112" s="174"/>
      <c r="O112" s="173"/>
    </row>
    <row r="113" spans="1:15">
      <c r="A113" s="171"/>
      <c r="B113" s="136"/>
      <c r="N113" s="174"/>
      <c r="O113" s="173"/>
    </row>
    <row r="114" spans="1:15">
      <c r="A114" s="171"/>
      <c r="B114" s="136"/>
      <c r="N114" s="174"/>
      <c r="O114" s="173"/>
    </row>
    <row r="115" spans="1:15">
      <c r="A115" s="171"/>
      <c r="B115" s="136"/>
      <c r="N115" s="174"/>
      <c r="O115" s="173"/>
    </row>
    <row r="116" spans="1:15">
      <c r="A116" s="171"/>
      <c r="B116" s="136"/>
      <c r="N116" s="174"/>
      <c r="O116" s="173"/>
    </row>
    <row r="117" spans="1:15">
      <c r="A117" s="171"/>
      <c r="B117" s="136"/>
      <c r="N117" s="174"/>
      <c r="O117" s="173"/>
    </row>
    <row r="118" spans="1:15">
      <c r="A118" s="171"/>
      <c r="B118" s="136"/>
      <c r="N118" s="174"/>
      <c r="O118" s="173"/>
    </row>
    <row r="119" spans="1:15">
      <c r="A119" s="171"/>
      <c r="B119" s="136"/>
      <c r="N119" s="174"/>
      <c r="O119" s="173"/>
    </row>
    <row r="120" spans="1:15">
      <c r="A120" s="171"/>
      <c r="B120" s="136"/>
      <c r="N120" s="174"/>
      <c r="O120" s="173"/>
    </row>
    <row r="121" spans="1:15">
      <c r="A121" s="171"/>
      <c r="B121" s="136"/>
      <c r="N121" s="174"/>
      <c r="O121" s="173"/>
    </row>
    <row r="122" spans="1:15">
      <c r="A122" s="171"/>
      <c r="B122" s="136"/>
      <c r="N122" s="174"/>
      <c r="O122" s="173"/>
    </row>
    <row r="123" spans="1:15">
      <c r="A123" s="171"/>
      <c r="B123" s="136"/>
      <c r="N123" s="174"/>
      <c r="O123" s="173"/>
    </row>
    <row r="124" spans="1:15">
      <c r="A124" s="171"/>
      <c r="B124" s="136"/>
      <c r="N124" s="174"/>
      <c r="O124" s="173"/>
    </row>
    <row r="125" spans="1:15">
      <c r="A125" s="171"/>
      <c r="B125" s="136"/>
      <c r="N125" s="174"/>
      <c r="O125" s="173"/>
    </row>
    <row r="126" spans="1:15">
      <c r="A126" s="171"/>
      <c r="B126" s="136"/>
      <c r="N126" s="174"/>
      <c r="O126" s="173"/>
    </row>
    <row r="127" spans="1:15">
      <c r="A127" s="171"/>
      <c r="B127" s="136"/>
      <c r="N127" s="174"/>
      <c r="O127" s="173"/>
    </row>
    <row r="128" spans="1:15">
      <c r="A128" s="171"/>
      <c r="B128" s="136"/>
      <c r="N128" s="174"/>
      <c r="O128" s="173"/>
    </row>
    <row r="129" spans="1:15">
      <c r="A129" s="171"/>
      <c r="B129" s="136"/>
      <c r="N129" s="174"/>
      <c r="O129" s="173"/>
    </row>
    <row r="130" spans="1:15">
      <c r="A130" s="171"/>
      <c r="B130" s="136"/>
      <c r="N130" s="174"/>
      <c r="O130" s="173"/>
    </row>
    <row r="131" spans="1:15">
      <c r="A131" s="171"/>
      <c r="B131" s="136"/>
      <c r="N131" s="174"/>
      <c r="O131" s="173"/>
    </row>
    <row r="132" spans="1:15">
      <c r="A132" s="171"/>
      <c r="B132" s="136"/>
      <c r="N132" s="174"/>
      <c r="O132" s="173"/>
    </row>
    <row r="133" spans="1:15">
      <c r="A133" s="171"/>
      <c r="B133" s="136"/>
      <c r="N133" s="174"/>
      <c r="O133" s="173"/>
    </row>
    <row r="134" spans="1:15">
      <c r="A134" s="171"/>
      <c r="B134" s="136"/>
      <c r="N134" s="174"/>
      <c r="O134" s="173"/>
    </row>
    <row r="135" spans="1:15">
      <c r="A135" s="171"/>
      <c r="B135" s="136"/>
      <c r="N135" s="174"/>
      <c r="O135" s="173"/>
    </row>
    <row r="136" spans="1:15">
      <c r="A136" s="171"/>
      <c r="B136" s="136"/>
      <c r="N136" s="174"/>
      <c r="O136" s="173"/>
    </row>
    <row r="137" spans="1:15">
      <c r="A137" s="171"/>
      <c r="B137" s="136"/>
      <c r="N137" s="174"/>
      <c r="O137" s="173"/>
    </row>
    <row r="138" spans="1:15">
      <c r="A138" s="171"/>
      <c r="B138" s="136"/>
      <c r="N138" s="174"/>
      <c r="O138" s="173"/>
    </row>
    <row r="139" spans="1:15">
      <c r="A139" s="171"/>
      <c r="B139" s="136"/>
      <c r="N139" s="174"/>
      <c r="O139" s="173"/>
    </row>
    <row r="140" spans="1:15">
      <c r="A140" s="171"/>
      <c r="B140" s="136"/>
      <c r="N140" s="174"/>
      <c r="O140" s="173"/>
    </row>
    <row r="141" spans="1:15">
      <c r="A141" s="171"/>
      <c r="B141" s="136"/>
      <c r="N141" s="174"/>
      <c r="O141" s="173"/>
    </row>
    <row r="142" spans="1:15">
      <c r="A142" s="171"/>
      <c r="B142" s="136"/>
      <c r="N142" s="174"/>
      <c r="O142" s="173"/>
    </row>
    <row r="143" spans="1:15">
      <c r="A143" s="171"/>
      <c r="B143" s="136"/>
      <c r="N143" s="174"/>
      <c r="O143" s="173"/>
    </row>
    <row r="144" spans="1:15">
      <c r="A144" s="171"/>
      <c r="B144" s="136"/>
      <c r="N144" s="174"/>
      <c r="O144" s="173"/>
    </row>
    <row r="145" spans="1:15">
      <c r="A145" s="171"/>
      <c r="B145" s="136"/>
      <c r="N145" s="174"/>
      <c r="O145" s="173"/>
    </row>
    <row r="146" spans="1:15">
      <c r="A146" s="171"/>
      <c r="B146" s="136"/>
      <c r="N146" s="174"/>
      <c r="O146" s="173"/>
    </row>
    <row r="147" spans="1:15">
      <c r="A147" s="171"/>
      <c r="B147" s="136"/>
      <c r="N147" s="174"/>
      <c r="O147" s="173"/>
    </row>
    <row r="148" spans="1:15">
      <c r="A148" s="171"/>
      <c r="B148" s="136"/>
      <c r="N148" s="174"/>
      <c r="O148" s="173"/>
    </row>
    <row r="149" spans="1:15">
      <c r="A149" s="171"/>
      <c r="B149" s="136"/>
      <c r="N149" s="174"/>
      <c r="O149" s="173"/>
    </row>
    <row r="150" spans="1:15">
      <c r="A150" s="171"/>
      <c r="B150" s="136"/>
      <c r="N150" s="174"/>
      <c r="O150" s="173"/>
    </row>
    <row r="151" spans="1:15">
      <c r="A151" s="171"/>
      <c r="B151" s="136"/>
      <c r="N151" s="174"/>
      <c r="O151" s="173"/>
    </row>
    <row r="152" spans="1:15">
      <c r="A152" s="171"/>
      <c r="B152" s="136"/>
      <c r="N152" s="174"/>
      <c r="O152" s="173"/>
    </row>
    <row r="153" spans="1:15">
      <c r="A153" s="171"/>
      <c r="B153" s="136"/>
      <c r="N153" s="174"/>
      <c r="O153" s="173"/>
    </row>
    <row r="154" spans="1:15">
      <c r="A154" s="171"/>
      <c r="B154" s="136"/>
      <c r="N154" s="174"/>
      <c r="O154" s="173"/>
    </row>
    <row r="155" spans="1:15">
      <c r="A155" s="171"/>
      <c r="B155" s="136"/>
      <c r="N155" s="174"/>
      <c r="O155" s="173"/>
    </row>
    <row r="156" spans="1:15">
      <c r="A156" s="171"/>
      <c r="B156" s="136"/>
      <c r="N156" s="174"/>
      <c r="O156" s="173"/>
    </row>
    <row r="157" spans="1:15">
      <c r="A157" s="171"/>
      <c r="B157" s="136"/>
      <c r="N157" s="174"/>
      <c r="O157" s="173"/>
    </row>
    <row r="158" spans="1:15">
      <c r="A158" s="171"/>
      <c r="B158" s="136"/>
      <c r="N158" s="174"/>
      <c r="O158" s="173"/>
    </row>
    <row r="159" spans="1:15">
      <c r="A159" s="171"/>
      <c r="B159" s="136"/>
      <c r="N159" s="174"/>
      <c r="O159" s="173"/>
    </row>
    <row r="160" spans="1:15">
      <c r="A160" s="171"/>
      <c r="B160" s="136"/>
      <c r="N160" s="174"/>
      <c r="O160" s="173"/>
    </row>
    <row r="161" spans="1:15">
      <c r="A161" s="171"/>
      <c r="B161" s="136"/>
      <c r="N161" s="174"/>
      <c r="O161" s="173"/>
    </row>
    <row r="162" spans="1:15">
      <c r="A162" s="171"/>
      <c r="B162" s="136"/>
      <c r="N162" s="174"/>
      <c r="O162" s="173"/>
    </row>
    <row r="163" spans="1:15">
      <c r="A163" s="171"/>
      <c r="B163" s="136"/>
      <c r="N163" s="174"/>
      <c r="O163" s="173"/>
    </row>
    <row r="164" spans="1:15">
      <c r="A164" s="171"/>
      <c r="B164" s="136"/>
      <c r="N164" s="174"/>
      <c r="O164" s="173"/>
    </row>
    <row r="165" spans="1:15">
      <c r="A165" s="171"/>
      <c r="B165" s="136"/>
      <c r="N165" s="174"/>
      <c r="O165" s="173"/>
    </row>
    <row r="166" spans="1:15">
      <c r="A166" s="171"/>
      <c r="B166" s="136"/>
      <c r="N166" s="174"/>
      <c r="O166" s="173"/>
    </row>
    <row r="167" spans="1:15">
      <c r="A167" s="171"/>
      <c r="B167" s="136"/>
      <c r="N167" s="174"/>
      <c r="O167" s="173"/>
    </row>
    <row r="168" spans="1:15">
      <c r="A168" s="171"/>
      <c r="B168" s="136"/>
      <c r="N168" s="174"/>
      <c r="O168" s="173"/>
    </row>
    <row r="169" spans="1:15">
      <c r="A169" s="171"/>
      <c r="B169" s="136"/>
      <c r="N169" s="174"/>
      <c r="O169" s="173"/>
    </row>
    <row r="170" spans="1:15">
      <c r="A170" s="171"/>
      <c r="B170" s="136"/>
      <c r="N170" s="174"/>
      <c r="O170" s="173"/>
    </row>
    <row r="171" spans="1:15">
      <c r="A171" s="171"/>
      <c r="B171" s="136"/>
      <c r="N171" s="174"/>
      <c r="O171" s="173"/>
    </row>
    <row r="172" spans="1:15">
      <c r="A172" s="171"/>
      <c r="B172" s="136"/>
      <c r="N172" s="174"/>
      <c r="O172" s="173"/>
    </row>
    <row r="173" spans="1:15">
      <c r="A173" s="171"/>
      <c r="B173" s="136"/>
      <c r="N173" s="174"/>
      <c r="O173" s="173"/>
    </row>
    <row r="174" spans="1:15">
      <c r="A174" s="171"/>
      <c r="B174" s="136"/>
      <c r="N174" s="174"/>
      <c r="O174" s="173"/>
    </row>
    <row r="175" spans="1:15">
      <c r="A175" s="171"/>
      <c r="B175" s="136"/>
      <c r="N175" s="174"/>
      <c r="O175" s="173"/>
    </row>
    <row r="176" spans="1:15">
      <c r="A176" s="171"/>
      <c r="B176" s="136"/>
      <c r="N176" s="174"/>
      <c r="O176" s="173"/>
    </row>
    <row r="177" spans="1:15">
      <c r="A177" s="171"/>
      <c r="B177" s="136"/>
      <c r="N177" s="174"/>
      <c r="O177" s="173"/>
    </row>
    <row r="178" spans="1:15">
      <c r="A178" s="171"/>
      <c r="B178" s="136"/>
      <c r="N178" s="174"/>
      <c r="O178" s="173"/>
    </row>
    <row r="179" spans="1:15">
      <c r="A179" s="171"/>
      <c r="B179" s="136"/>
      <c r="N179" s="174"/>
      <c r="O179" s="173"/>
    </row>
    <row r="180" spans="1:15">
      <c r="A180" s="171"/>
      <c r="B180" s="136"/>
      <c r="N180" s="174"/>
      <c r="O180" s="173"/>
    </row>
    <row r="181" spans="1:15">
      <c r="A181" s="171"/>
      <c r="B181" s="136"/>
      <c r="N181" s="174"/>
      <c r="O181" s="173"/>
    </row>
    <row r="182" spans="1:15">
      <c r="A182" s="171"/>
      <c r="B182" s="136"/>
      <c r="N182" s="174"/>
      <c r="O182" s="173"/>
    </row>
    <row r="183" spans="1:15">
      <c r="A183" s="171"/>
      <c r="B183" s="136"/>
      <c r="N183" s="174"/>
      <c r="O183" s="173"/>
    </row>
    <row r="184" spans="1:15">
      <c r="A184" s="171"/>
      <c r="B184" s="136"/>
      <c r="N184" s="174"/>
      <c r="O184" s="173"/>
    </row>
    <row r="185" spans="1:15">
      <c r="A185" s="171"/>
      <c r="B185" s="136"/>
      <c r="N185" s="174"/>
      <c r="O185" s="173"/>
    </row>
    <row r="186" spans="1:15">
      <c r="A186" s="171"/>
      <c r="B186" s="136"/>
      <c r="N186" s="174"/>
      <c r="O186" s="173"/>
    </row>
    <row r="187" spans="1:15">
      <c r="A187" s="171"/>
      <c r="B187" s="136"/>
      <c r="N187" s="174"/>
      <c r="O187" s="173"/>
    </row>
    <row r="188" spans="1:15">
      <c r="A188" s="171"/>
      <c r="B188" s="136"/>
      <c r="N188" s="174"/>
      <c r="O188" s="173"/>
    </row>
    <row r="189" spans="1:15">
      <c r="A189" s="171"/>
      <c r="B189" s="136"/>
      <c r="N189" s="174"/>
      <c r="O189" s="173"/>
    </row>
    <row r="190" spans="1:15">
      <c r="A190" s="171"/>
      <c r="B190" s="136"/>
      <c r="N190" s="174"/>
      <c r="O190" s="173"/>
    </row>
    <row r="191" spans="1:15">
      <c r="A191" s="171"/>
      <c r="B191" s="136"/>
      <c r="N191" s="174"/>
      <c r="O191" s="173"/>
    </row>
    <row r="192" spans="1:15">
      <c r="A192" s="171"/>
      <c r="B192" s="136"/>
      <c r="N192" s="174"/>
      <c r="O192" s="173"/>
    </row>
    <row r="193" spans="1:15">
      <c r="A193" s="171"/>
      <c r="B193" s="136"/>
      <c r="N193" s="174"/>
      <c r="O193" s="173"/>
    </row>
    <row r="194" spans="1:15">
      <c r="A194" s="171"/>
      <c r="B194" s="136"/>
      <c r="N194" s="174"/>
      <c r="O194" s="173"/>
    </row>
    <row r="195" spans="1:15">
      <c r="A195" s="171"/>
      <c r="B195" s="136"/>
      <c r="N195" s="174"/>
      <c r="O195" s="173"/>
    </row>
    <row r="196" spans="1:15">
      <c r="A196" s="171"/>
      <c r="B196" s="136"/>
      <c r="N196" s="174"/>
      <c r="O196" s="173"/>
    </row>
    <row r="197" spans="1:15">
      <c r="A197" s="171"/>
      <c r="B197" s="136"/>
      <c r="N197" s="174"/>
      <c r="O197" s="173"/>
    </row>
    <row r="198" spans="1:15">
      <c r="A198" s="171"/>
      <c r="B198" s="136"/>
      <c r="N198" s="174"/>
      <c r="O198" s="173"/>
    </row>
    <row r="199" spans="1:15">
      <c r="A199" s="171"/>
      <c r="B199" s="136"/>
      <c r="N199" s="174"/>
      <c r="O199" s="173"/>
    </row>
    <row r="200" spans="1:15">
      <c r="A200" s="171"/>
      <c r="B200" s="136"/>
      <c r="N200" s="174"/>
      <c r="O200" s="173"/>
    </row>
    <row r="201" spans="1:15">
      <c r="A201" s="171"/>
      <c r="B201" s="136"/>
      <c r="N201" s="174"/>
      <c r="O201" s="173"/>
    </row>
    <row r="202" spans="1:15">
      <c r="A202" s="171"/>
      <c r="B202" s="136"/>
      <c r="N202" s="174"/>
      <c r="O202" s="173"/>
    </row>
    <row r="203" spans="1:15">
      <c r="A203" s="171"/>
      <c r="B203" s="136"/>
      <c r="N203" s="174"/>
      <c r="O203" s="173"/>
    </row>
    <row r="204" spans="1:15">
      <c r="A204" s="171"/>
      <c r="B204" s="136"/>
      <c r="N204" s="174"/>
      <c r="O204" s="173"/>
    </row>
    <row r="205" spans="1:15">
      <c r="A205" s="171"/>
      <c r="B205" s="136"/>
      <c r="N205" s="174"/>
      <c r="O205" s="173"/>
    </row>
    <row r="206" spans="1:15">
      <c r="A206" s="171"/>
      <c r="B206" s="136"/>
      <c r="N206" s="174"/>
      <c r="O206" s="173"/>
    </row>
    <row r="207" spans="1:15">
      <c r="A207" s="171"/>
      <c r="B207" s="136"/>
      <c r="N207" s="174"/>
      <c r="O207" s="173"/>
    </row>
    <row r="208" spans="1:15">
      <c r="A208" s="171"/>
      <c r="B208" s="136"/>
      <c r="N208" s="174"/>
      <c r="O208" s="173"/>
    </row>
    <row r="209" spans="1:15">
      <c r="A209" s="171"/>
      <c r="B209" s="136"/>
      <c r="N209" s="174"/>
      <c r="O209" s="173"/>
    </row>
    <row r="210" spans="1:15">
      <c r="A210" s="171"/>
      <c r="B210" s="136"/>
      <c r="N210" s="174"/>
      <c r="O210" s="173"/>
    </row>
    <row r="211" spans="1:15">
      <c r="A211" s="171"/>
      <c r="B211" s="136"/>
      <c r="N211" s="174"/>
      <c r="O211" s="173"/>
    </row>
    <row r="212" spans="1:15">
      <c r="A212" s="171"/>
      <c r="B212" s="136"/>
      <c r="N212" s="174"/>
      <c r="O212" s="173"/>
    </row>
    <row r="213" spans="1:15">
      <c r="A213" s="171"/>
      <c r="B213" s="136"/>
      <c r="N213" s="174"/>
      <c r="O213" s="173"/>
    </row>
    <row r="214" spans="1:15">
      <c r="A214" s="171"/>
      <c r="B214" s="136"/>
      <c r="N214" s="174"/>
      <c r="O214" s="173"/>
    </row>
    <row r="215" spans="1:15">
      <c r="A215" s="171"/>
      <c r="B215" s="136"/>
      <c r="N215" s="174"/>
      <c r="O215" s="173"/>
    </row>
    <row r="216" spans="1:15">
      <c r="A216" s="171"/>
      <c r="B216" s="136"/>
      <c r="N216" s="174"/>
      <c r="O216" s="173"/>
    </row>
    <row r="217" spans="1:15">
      <c r="A217" s="171"/>
      <c r="B217" s="136"/>
      <c r="N217" s="174"/>
      <c r="O217" s="173"/>
    </row>
    <row r="218" spans="1:15">
      <c r="A218" s="171"/>
      <c r="B218" s="136"/>
      <c r="N218" s="174"/>
      <c r="O218" s="173"/>
    </row>
    <row r="219" spans="1:15">
      <c r="A219" s="171"/>
      <c r="B219" s="136"/>
      <c r="N219" s="174"/>
      <c r="O219" s="173"/>
    </row>
    <row r="220" spans="1:15">
      <c r="A220" s="171"/>
      <c r="B220" s="136"/>
      <c r="N220" s="174"/>
      <c r="O220" s="173"/>
    </row>
    <row r="221" spans="1:15">
      <c r="A221" s="171"/>
      <c r="B221" s="136"/>
      <c r="N221" s="174"/>
      <c r="O221" s="173"/>
    </row>
    <row r="222" spans="1:15">
      <c r="A222" s="171"/>
      <c r="B222" s="136"/>
      <c r="N222" s="174"/>
      <c r="O222" s="173"/>
    </row>
    <row r="223" spans="1:15">
      <c r="A223" s="171"/>
      <c r="B223" s="136"/>
      <c r="N223" s="174"/>
      <c r="O223" s="173"/>
    </row>
    <row r="224" spans="1:15">
      <c r="A224" s="171"/>
      <c r="B224" s="136"/>
      <c r="N224" s="174"/>
      <c r="O224" s="173"/>
    </row>
    <row r="225" spans="1:15">
      <c r="A225" s="171"/>
      <c r="B225" s="136"/>
      <c r="N225" s="174"/>
      <c r="O225" s="173"/>
    </row>
    <row r="226" spans="1:15">
      <c r="A226" s="171"/>
      <c r="B226" s="136"/>
      <c r="N226" s="174"/>
      <c r="O226" s="173"/>
    </row>
    <row r="227" spans="1:15">
      <c r="A227" s="171"/>
      <c r="B227" s="136"/>
      <c r="N227" s="174"/>
      <c r="O227" s="173"/>
    </row>
    <row r="228" spans="1:15">
      <c r="A228" s="171"/>
      <c r="B228" s="136"/>
      <c r="N228" s="174"/>
      <c r="O228" s="173"/>
    </row>
    <row r="229" spans="1:15">
      <c r="A229" s="171"/>
      <c r="B229" s="136"/>
      <c r="N229" s="174"/>
      <c r="O229" s="173"/>
    </row>
    <row r="230" spans="1:15">
      <c r="A230" s="171"/>
      <c r="B230" s="136"/>
      <c r="N230" s="174"/>
      <c r="O230" s="173"/>
    </row>
    <row r="231" spans="1:15">
      <c r="A231" s="171"/>
      <c r="B231" s="136"/>
      <c r="N231" s="174"/>
      <c r="O231" s="173"/>
    </row>
    <row r="232" spans="1:15">
      <c r="A232" s="171"/>
      <c r="B232" s="136"/>
      <c r="N232" s="174"/>
      <c r="O232" s="173"/>
    </row>
    <row r="233" spans="1:15">
      <c r="A233" s="171"/>
      <c r="B233" s="136"/>
      <c r="N233" s="174"/>
      <c r="O233" s="173"/>
    </row>
    <row r="234" spans="1:15">
      <c r="A234" s="171"/>
      <c r="B234" s="136"/>
      <c r="N234" s="174"/>
      <c r="O234" s="173"/>
    </row>
    <row r="235" spans="1:15">
      <c r="A235" s="171"/>
      <c r="B235" s="136"/>
      <c r="N235" s="174"/>
      <c r="O235" s="173"/>
    </row>
    <row r="236" spans="1:15">
      <c r="A236" s="171"/>
      <c r="B236" s="136"/>
      <c r="N236" s="174"/>
      <c r="O236" s="173"/>
    </row>
    <row r="237" spans="1:15">
      <c r="A237" s="171"/>
      <c r="B237" s="136"/>
      <c r="N237" s="174"/>
      <c r="O237" s="173"/>
    </row>
    <row r="238" spans="1:15">
      <c r="A238" s="171"/>
      <c r="B238" s="136"/>
      <c r="N238" s="174"/>
      <c r="O238" s="173"/>
    </row>
    <row r="239" spans="1:15">
      <c r="A239" s="171"/>
      <c r="B239" s="136"/>
      <c r="N239" s="174"/>
      <c r="O239" s="173"/>
    </row>
    <row r="240" spans="1:15">
      <c r="A240" s="171"/>
      <c r="B240" s="136"/>
      <c r="N240" s="174"/>
      <c r="O240" s="173"/>
    </row>
    <row r="241" spans="1:15">
      <c r="A241" s="171"/>
      <c r="B241" s="136"/>
      <c r="N241" s="174"/>
      <c r="O241" s="173"/>
    </row>
    <row r="242" spans="1:15">
      <c r="A242" s="171"/>
      <c r="B242" s="136"/>
      <c r="N242" s="174"/>
      <c r="O242" s="173"/>
    </row>
    <row r="243" spans="1:15">
      <c r="A243" s="171"/>
      <c r="B243" s="136"/>
      <c r="N243" s="174"/>
      <c r="O243" s="173"/>
    </row>
    <row r="244" spans="1:15">
      <c r="A244" s="171"/>
      <c r="B244" s="136"/>
      <c r="N244" s="174"/>
      <c r="O244" s="173"/>
    </row>
    <row r="245" spans="1:15">
      <c r="A245" s="171"/>
      <c r="B245" s="136"/>
      <c r="N245" s="174"/>
      <c r="O245" s="173"/>
    </row>
    <row r="246" spans="1:15">
      <c r="A246" s="171"/>
      <c r="B246" s="136"/>
      <c r="N246" s="174"/>
      <c r="O246" s="173"/>
    </row>
    <row r="247" spans="1:15">
      <c r="A247" s="171"/>
      <c r="B247" s="136"/>
      <c r="N247" s="174"/>
      <c r="O247" s="173"/>
    </row>
    <row r="248" spans="1:15">
      <c r="A248" s="171"/>
      <c r="B248" s="136"/>
      <c r="N248" s="174"/>
      <c r="O248" s="173"/>
    </row>
    <row r="249" spans="1:15">
      <c r="A249" s="171"/>
      <c r="B249" s="136"/>
      <c r="N249" s="174"/>
      <c r="O249" s="173"/>
    </row>
    <row r="250" spans="1:15">
      <c r="A250" s="171"/>
      <c r="B250" s="136"/>
      <c r="N250" s="174"/>
      <c r="O250" s="173"/>
    </row>
    <row r="251" spans="1:15">
      <c r="A251" s="171"/>
      <c r="B251" s="136"/>
      <c r="N251" s="174"/>
      <c r="O251" s="173"/>
    </row>
    <row r="252" spans="1:15">
      <c r="A252" s="171"/>
      <c r="B252" s="136"/>
      <c r="N252" s="174"/>
      <c r="O252" s="173"/>
    </row>
    <row r="253" spans="1:15">
      <c r="A253" s="171"/>
      <c r="B253" s="136"/>
      <c r="N253" s="174"/>
      <c r="O253" s="173"/>
    </row>
    <row r="254" spans="1:15">
      <c r="A254" s="171"/>
      <c r="B254" s="136"/>
      <c r="N254" s="174"/>
      <c r="O254" s="173"/>
    </row>
    <row r="255" spans="1:15">
      <c r="A255" s="171"/>
      <c r="B255" s="136"/>
      <c r="N255" s="174"/>
      <c r="O255" s="173"/>
    </row>
    <row r="256" spans="1:15">
      <c r="A256" s="171"/>
      <c r="B256" s="136"/>
      <c r="N256" s="174"/>
      <c r="O256" s="173"/>
    </row>
    <row r="257" spans="1:15">
      <c r="A257" s="171"/>
      <c r="B257" s="136"/>
      <c r="N257" s="174"/>
      <c r="O257" s="173"/>
    </row>
    <row r="258" spans="1:15">
      <c r="A258" s="171"/>
      <c r="B258" s="136"/>
      <c r="N258" s="174"/>
      <c r="O258" s="173"/>
    </row>
    <row r="259" spans="1:15">
      <c r="A259" s="171"/>
      <c r="B259" s="136"/>
      <c r="N259" s="174"/>
      <c r="O259" s="173"/>
    </row>
    <row r="260" spans="1:15">
      <c r="A260" s="171"/>
      <c r="B260" s="136"/>
      <c r="N260" s="174"/>
      <c r="O260" s="173"/>
    </row>
    <row r="261" spans="1:15">
      <c r="A261" s="171"/>
      <c r="B261" s="136"/>
      <c r="N261" s="174"/>
      <c r="O261" s="173"/>
    </row>
    <row r="262" spans="1:15">
      <c r="A262" s="171"/>
      <c r="B262" s="136"/>
      <c r="N262" s="174"/>
      <c r="O262" s="173"/>
    </row>
    <row r="263" spans="1:15">
      <c r="A263" s="171"/>
      <c r="B263" s="136"/>
      <c r="N263" s="174"/>
      <c r="O263" s="173"/>
    </row>
    <row r="264" spans="1:15">
      <c r="A264" s="171"/>
      <c r="B264" s="136"/>
      <c r="N264" s="174"/>
      <c r="O264" s="173"/>
    </row>
    <row r="265" spans="1:15">
      <c r="A265" s="171"/>
      <c r="B265" s="136"/>
      <c r="N265" s="174"/>
      <c r="O265" s="173"/>
    </row>
    <row r="266" spans="1:15">
      <c r="A266" s="171"/>
      <c r="B266" s="136"/>
      <c r="N266" s="174"/>
      <c r="O266" s="173"/>
    </row>
    <row r="267" spans="1:15">
      <c r="A267" s="171"/>
      <c r="B267" s="136"/>
      <c r="N267" s="174"/>
      <c r="O267" s="173"/>
    </row>
    <row r="268" spans="1:15">
      <c r="A268" s="171"/>
      <c r="B268" s="136"/>
      <c r="N268" s="174"/>
      <c r="O268" s="173"/>
    </row>
    <row r="269" spans="1:15">
      <c r="A269" s="171"/>
      <c r="B269" s="136"/>
      <c r="N269" s="174"/>
      <c r="O269" s="173"/>
    </row>
    <row r="270" spans="1:15">
      <c r="A270" s="171"/>
      <c r="B270" s="136"/>
      <c r="N270" s="174"/>
      <c r="O270" s="173"/>
    </row>
    <row r="271" spans="1:15">
      <c r="A271" s="171"/>
      <c r="B271" s="136"/>
      <c r="N271" s="174"/>
      <c r="O271" s="173"/>
    </row>
    <row r="272" spans="1:15">
      <c r="A272" s="171"/>
      <c r="B272" s="136"/>
      <c r="N272" s="174"/>
      <c r="O272" s="173"/>
    </row>
    <row r="273" spans="1:15">
      <c r="A273" s="171"/>
      <c r="B273" s="136"/>
      <c r="N273" s="174"/>
      <c r="O273" s="173"/>
    </row>
    <row r="274" spans="1:15">
      <c r="A274" s="171"/>
      <c r="B274" s="136"/>
      <c r="N274" s="174"/>
      <c r="O274" s="173"/>
    </row>
    <row r="275" spans="1:15">
      <c r="A275" s="171"/>
      <c r="B275" s="136"/>
      <c r="N275" s="174"/>
      <c r="O275" s="173"/>
    </row>
    <row r="276" spans="1:15">
      <c r="A276" s="171"/>
      <c r="B276" s="136"/>
      <c r="N276" s="174"/>
      <c r="O276" s="173"/>
    </row>
    <row r="277" spans="1:15">
      <c r="A277" s="171"/>
      <c r="B277" s="136"/>
      <c r="N277" s="174"/>
      <c r="O277" s="173"/>
    </row>
    <row r="278" spans="1:15">
      <c r="A278" s="171"/>
      <c r="B278" s="136"/>
      <c r="N278" s="174"/>
      <c r="O278" s="173"/>
    </row>
    <row r="279" spans="1:15">
      <c r="A279" s="171"/>
      <c r="B279" s="136"/>
      <c r="N279" s="174"/>
      <c r="O279" s="173"/>
    </row>
    <row r="280" spans="1:15">
      <c r="A280" s="171"/>
      <c r="B280" s="136"/>
      <c r="N280" s="174"/>
      <c r="O280" s="173"/>
    </row>
    <row r="281" spans="1:15">
      <c r="A281" s="171"/>
      <c r="B281" s="136"/>
      <c r="N281" s="174"/>
      <c r="O281" s="173"/>
    </row>
    <row r="282" spans="1:15">
      <c r="A282" s="171"/>
      <c r="B282" s="136"/>
      <c r="N282" s="174"/>
      <c r="O282" s="173"/>
    </row>
    <row r="283" spans="1:15">
      <c r="A283" s="171"/>
      <c r="B283" s="136"/>
      <c r="N283" s="174"/>
      <c r="O283" s="173"/>
    </row>
    <row r="284" spans="1:15">
      <c r="A284" s="171"/>
      <c r="B284" s="136"/>
      <c r="N284" s="174"/>
      <c r="O284" s="173"/>
    </row>
    <row r="285" spans="1:15">
      <c r="A285" s="171"/>
      <c r="B285" s="136"/>
      <c r="N285" s="174"/>
      <c r="O285" s="173"/>
    </row>
    <row r="286" spans="1:15">
      <c r="A286" s="171"/>
      <c r="B286" s="136"/>
      <c r="N286" s="174"/>
      <c r="O286" s="173"/>
    </row>
    <row r="287" spans="1:15">
      <c r="A287" s="171"/>
      <c r="B287" s="136"/>
      <c r="N287" s="174"/>
      <c r="O287" s="173"/>
    </row>
    <row r="288" spans="1:15">
      <c r="A288" s="171"/>
      <c r="B288" s="136"/>
      <c r="N288" s="174"/>
      <c r="O288" s="173"/>
    </row>
    <row r="289" spans="1:15">
      <c r="A289" s="171"/>
      <c r="B289" s="136"/>
      <c r="N289" s="174"/>
      <c r="O289" s="173"/>
    </row>
    <row r="290" spans="1:15">
      <c r="A290" s="171"/>
      <c r="B290" s="136"/>
      <c r="N290" s="174"/>
      <c r="O290" s="173"/>
    </row>
    <row r="291" spans="1:15">
      <c r="A291" s="171"/>
      <c r="B291" s="136"/>
      <c r="N291" s="174"/>
      <c r="O291" s="173"/>
    </row>
    <row r="292" spans="1:15">
      <c r="A292" s="171"/>
      <c r="B292" s="136"/>
      <c r="N292" s="174"/>
      <c r="O292" s="173"/>
    </row>
    <row r="293" spans="1:15">
      <c r="A293" s="171"/>
      <c r="B293" s="136"/>
      <c r="N293" s="174"/>
      <c r="O293" s="173"/>
    </row>
    <row r="294" spans="1:15">
      <c r="A294" s="171"/>
      <c r="B294" s="136"/>
      <c r="N294" s="174"/>
      <c r="O294" s="173"/>
    </row>
    <row r="295" spans="1:15">
      <c r="A295" s="171"/>
      <c r="B295" s="136"/>
      <c r="N295" s="174"/>
      <c r="O295" s="173"/>
    </row>
    <row r="296" spans="1:15">
      <c r="A296" s="171"/>
      <c r="B296" s="136"/>
      <c r="N296" s="174"/>
      <c r="O296" s="173"/>
    </row>
    <row r="297" spans="1:15">
      <c r="A297" s="171"/>
      <c r="B297" s="136"/>
      <c r="N297" s="174"/>
      <c r="O297" s="173"/>
    </row>
    <row r="298" spans="1:15">
      <c r="A298" s="171"/>
      <c r="B298" s="136"/>
      <c r="N298" s="174"/>
      <c r="O298" s="173"/>
    </row>
    <row r="299" spans="1:15">
      <c r="A299" s="171"/>
      <c r="B299" s="136"/>
      <c r="N299" s="174"/>
      <c r="O299" s="173"/>
    </row>
    <row r="300" spans="1:15">
      <c r="A300" s="171"/>
      <c r="B300" s="136"/>
      <c r="N300" s="174"/>
      <c r="O300" s="173"/>
    </row>
    <row r="301" spans="1:15">
      <c r="A301" s="171"/>
      <c r="B301" s="136"/>
      <c r="N301" s="174"/>
      <c r="O301" s="173"/>
    </row>
    <row r="302" spans="1:15">
      <c r="A302" s="171"/>
      <c r="B302" s="136"/>
      <c r="N302" s="174"/>
      <c r="O302" s="173"/>
    </row>
    <row r="303" spans="1:15">
      <c r="A303" s="171"/>
      <c r="B303" s="136"/>
      <c r="N303" s="174"/>
      <c r="O303" s="173"/>
    </row>
    <row r="304" spans="1:15">
      <c r="A304" s="171"/>
      <c r="B304" s="136"/>
      <c r="N304" s="174"/>
      <c r="O304" s="173"/>
    </row>
    <row r="305" spans="1:15">
      <c r="A305" s="171"/>
      <c r="B305" s="136"/>
      <c r="N305" s="174"/>
      <c r="O305" s="173"/>
    </row>
    <row r="306" spans="1:15">
      <c r="A306" s="171"/>
      <c r="B306" s="136"/>
      <c r="N306" s="174"/>
      <c r="O306" s="173"/>
    </row>
    <row r="307" spans="1:15">
      <c r="A307" s="171"/>
      <c r="B307" s="136"/>
      <c r="N307" s="174"/>
      <c r="O307" s="173"/>
    </row>
    <row r="308" spans="1:15">
      <c r="A308" s="171"/>
      <c r="B308" s="136"/>
      <c r="N308" s="174"/>
      <c r="O308" s="173"/>
    </row>
    <row r="309" spans="1:15">
      <c r="A309" s="171"/>
      <c r="B309" s="136"/>
      <c r="N309" s="174"/>
      <c r="O309" s="173"/>
    </row>
    <row r="310" spans="1:15">
      <c r="A310" s="171"/>
      <c r="B310" s="136"/>
      <c r="N310" s="174"/>
      <c r="O310" s="173"/>
    </row>
    <row r="311" spans="1:15">
      <c r="A311" s="171"/>
      <c r="B311" s="136"/>
      <c r="N311" s="174"/>
      <c r="O311" s="173"/>
    </row>
    <row r="312" spans="1:15">
      <c r="A312" s="171"/>
      <c r="B312" s="136"/>
      <c r="N312" s="174"/>
      <c r="O312" s="173"/>
    </row>
    <row r="313" spans="1:15">
      <c r="A313" s="171"/>
      <c r="B313" s="136"/>
      <c r="N313" s="174"/>
      <c r="O313" s="173"/>
    </row>
    <row r="314" spans="1:15">
      <c r="A314" s="171"/>
      <c r="B314" s="136"/>
      <c r="N314" s="174"/>
      <c r="O314" s="173"/>
    </row>
    <row r="315" spans="1:15">
      <c r="A315" s="171"/>
      <c r="B315" s="136"/>
      <c r="N315" s="174"/>
      <c r="O315" s="173"/>
    </row>
    <row r="316" spans="1:15">
      <c r="A316" s="171"/>
      <c r="B316" s="136"/>
      <c r="N316" s="174"/>
      <c r="O316" s="173"/>
    </row>
    <row r="317" spans="1:15">
      <c r="A317" s="171"/>
      <c r="B317" s="136"/>
      <c r="N317" s="174"/>
      <c r="O317" s="173"/>
    </row>
    <row r="318" spans="1:15">
      <c r="A318" s="171"/>
      <c r="B318" s="136"/>
      <c r="N318" s="174"/>
      <c r="O318" s="173"/>
    </row>
    <row r="319" spans="1:15">
      <c r="A319" s="171"/>
      <c r="B319" s="136"/>
      <c r="N319" s="174"/>
      <c r="O319" s="173"/>
    </row>
    <row r="320" spans="1:15">
      <c r="A320" s="171"/>
      <c r="B320" s="136"/>
      <c r="N320" s="174"/>
      <c r="O320" s="173"/>
    </row>
    <row r="321" spans="1:15">
      <c r="A321" s="171"/>
      <c r="B321" s="136"/>
      <c r="N321" s="174"/>
      <c r="O321" s="173"/>
    </row>
    <row r="322" spans="1:15">
      <c r="A322" s="171"/>
      <c r="B322" s="136"/>
      <c r="N322" s="174"/>
      <c r="O322" s="173"/>
    </row>
    <row r="323" spans="1:15">
      <c r="A323" s="171"/>
      <c r="B323" s="136"/>
      <c r="N323" s="174"/>
      <c r="O323" s="173"/>
    </row>
    <row r="324" spans="1:15">
      <c r="A324" s="171"/>
      <c r="B324" s="136"/>
      <c r="N324" s="174"/>
      <c r="O324" s="173"/>
    </row>
    <row r="325" spans="1:15">
      <c r="A325" s="171"/>
      <c r="B325" s="136"/>
      <c r="N325" s="174"/>
      <c r="O325" s="173"/>
    </row>
    <row r="326" spans="1:15">
      <c r="A326" s="171"/>
      <c r="B326" s="136"/>
      <c r="N326" s="174"/>
      <c r="O326" s="173"/>
    </row>
    <row r="327" spans="1:15">
      <c r="A327" s="171"/>
      <c r="B327" s="136"/>
      <c r="N327" s="174"/>
      <c r="O327" s="173"/>
    </row>
    <row r="328" spans="1:15">
      <c r="A328" s="171"/>
      <c r="B328" s="136"/>
      <c r="N328" s="174"/>
      <c r="O328" s="173"/>
    </row>
    <row r="329" spans="1:15">
      <c r="A329" s="171"/>
      <c r="B329" s="136"/>
      <c r="N329" s="174"/>
      <c r="O329" s="173"/>
    </row>
    <row r="330" spans="1:15">
      <c r="A330" s="171"/>
      <c r="B330" s="136"/>
      <c r="N330" s="174"/>
      <c r="O330" s="173"/>
    </row>
    <row r="331" spans="1:15">
      <c r="A331" s="171"/>
      <c r="B331" s="136"/>
      <c r="N331" s="174"/>
      <c r="O331" s="173"/>
    </row>
    <row r="332" spans="1:15">
      <c r="A332" s="171"/>
      <c r="B332" s="136"/>
      <c r="N332" s="174"/>
      <c r="O332" s="173"/>
    </row>
    <row r="333" spans="1:15">
      <c r="A333" s="171"/>
      <c r="B333" s="136"/>
      <c r="N333" s="174"/>
      <c r="O333" s="173"/>
    </row>
    <row r="334" spans="1:15">
      <c r="A334" s="171"/>
      <c r="B334" s="136"/>
      <c r="N334" s="174"/>
      <c r="O334" s="173"/>
    </row>
    <row r="335" spans="1:15">
      <c r="A335" s="171"/>
      <c r="B335" s="136"/>
      <c r="N335" s="174"/>
      <c r="O335" s="173"/>
    </row>
    <row r="336" spans="1:15">
      <c r="A336" s="171"/>
      <c r="B336" s="136"/>
      <c r="N336" s="174"/>
      <c r="O336" s="173"/>
    </row>
    <row r="337" spans="1:15">
      <c r="A337" s="171"/>
      <c r="B337" s="136"/>
      <c r="N337" s="174"/>
      <c r="O337" s="173"/>
    </row>
    <row r="338" spans="1:15">
      <c r="A338" s="171"/>
      <c r="B338" s="136"/>
      <c r="N338" s="174"/>
      <c r="O338" s="173"/>
    </row>
    <row r="339" spans="1:15">
      <c r="A339" s="171"/>
      <c r="B339" s="136"/>
      <c r="N339" s="174"/>
      <c r="O339" s="173"/>
    </row>
    <row r="340" spans="1:15">
      <c r="A340" s="171"/>
      <c r="B340" s="136"/>
      <c r="N340" s="174"/>
      <c r="O340" s="173"/>
    </row>
    <row r="341" spans="1:15">
      <c r="A341" s="171"/>
      <c r="B341" s="136"/>
      <c r="N341" s="174"/>
      <c r="O341" s="173"/>
    </row>
    <row r="342" spans="1:15">
      <c r="A342" s="171"/>
      <c r="B342" s="136"/>
      <c r="N342" s="174"/>
      <c r="O342" s="173"/>
    </row>
    <row r="343" spans="1:15">
      <c r="A343" s="171"/>
      <c r="B343" s="136"/>
      <c r="N343" s="174"/>
      <c r="O343" s="173"/>
    </row>
    <row r="344" spans="1:15">
      <c r="A344" s="171"/>
      <c r="B344" s="136"/>
      <c r="N344" s="174"/>
      <c r="O344" s="173"/>
    </row>
    <row r="345" spans="1:15">
      <c r="A345" s="171"/>
      <c r="B345" s="136"/>
      <c r="N345" s="174"/>
      <c r="O345" s="173"/>
    </row>
    <row r="346" spans="1:15">
      <c r="A346" s="171"/>
      <c r="B346" s="136"/>
      <c r="N346" s="174"/>
      <c r="O346" s="173"/>
    </row>
    <row r="347" spans="1:15">
      <c r="A347" s="171"/>
      <c r="B347" s="136"/>
      <c r="N347" s="174"/>
      <c r="O347" s="173"/>
    </row>
    <row r="348" spans="1:15">
      <c r="A348" s="171"/>
      <c r="B348" s="136"/>
      <c r="N348" s="174"/>
      <c r="O348" s="173"/>
    </row>
    <row r="349" spans="1:15">
      <c r="A349" s="171"/>
      <c r="B349" s="136"/>
      <c r="N349" s="174"/>
      <c r="O349" s="173"/>
    </row>
    <row r="350" spans="1:15">
      <c r="A350" s="171"/>
      <c r="B350" s="136"/>
      <c r="N350" s="174"/>
      <c r="O350" s="173"/>
    </row>
    <row r="351" spans="1:15">
      <c r="A351" s="171"/>
      <c r="B351" s="136"/>
      <c r="N351" s="174"/>
      <c r="O351" s="173"/>
    </row>
    <row r="352" spans="1:15">
      <c r="A352" s="171"/>
      <c r="B352" s="136"/>
      <c r="N352" s="174"/>
      <c r="O352" s="173"/>
    </row>
    <row r="353" spans="1:15">
      <c r="A353" s="171"/>
      <c r="B353" s="136"/>
      <c r="N353" s="174"/>
      <c r="O353" s="173"/>
    </row>
    <row r="354" spans="1:15">
      <c r="A354" s="171"/>
      <c r="B354" s="136"/>
      <c r="N354" s="174"/>
      <c r="O354" s="173"/>
    </row>
    <row r="355" spans="1:15">
      <c r="A355" s="171"/>
      <c r="B355" s="136"/>
      <c r="N355" s="174"/>
      <c r="O355" s="173"/>
    </row>
    <row r="356" spans="1:15">
      <c r="A356" s="171"/>
      <c r="B356" s="136"/>
      <c r="N356" s="174"/>
      <c r="O356" s="173"/>
    </row>
    <row r="357" spans="1:15">
      <c r="A357" s="171"/>
      <c r="B357" s="136"/>
      <c r="N357" s="174"/>
      <c r="O357" s="173"/>
    </row>
    <row r="358" spans="1:15">
      <c r="A358" s="171"/>
      <c r="B358" s="136"/>
      <c r="N358" s="174"/>
      <c r="O358" s="173"/>
    </row>
    <row r="359" spans="1:15">
      <c r="A359" s="171"/>
      <c r="B359" s="136"/>
      <c r="N359" s="174"/>
      <c r="O359" s="173"/>
    </row>
    <row r="360" spans="1:15">
      <c r="A360" s="171"/>
      <c r="B360" s="136"/>
      <c r="N360" s="174"/>
      <c r="O360" s="173"/>
    </row>
    <row r="361" spans="1:15">
      <c r="A361" s="171"/>
      <c r="B361" s="136"/>
      <c r="N361" s="174"/>
      <c r="O361" s="173"/>
    </row>
    <row r="362" spans="1:15">
      <c r="A362" s="171"/>
      <c r="B362" s="136"/>
      <c r="N362" s="174"/>
      <c r="O362" s="173"/>
    </row>
    <row r="363" spans="1:15">
      <c r="A363" s="171"/>
      <c r="B363" s="136"/>
      <c r="N363" s="174"/>
      <c r="O363" s="173"/>
    </row>
    <row r="364" spans="1:15">
      <c r="A364" s="171"/>
      <c r="B364" s="136"/>
      <c r="N364" s="174"/>
      <c r="O364" s="173"/>
    </row>
    <row r="365" spans="1:15">
      <c r="A365" s="171"/>
      <c r="B365" s="136"/>
      <c r="N365" s="174"/>
      <c r="O365" s="173"/>
    </row>
    <row r="366" spans="1:15">
      <c r="A366" s="171"/>
      <c r="B366" s="136"/>
      <c r="N366" s="174"/>
      <c r="O366" s="173"/>
    </row>
    <row r="367" spans="1:15">
      <c r="A367" s="171"/>
      <c r="B367" s="136"/>
      <c r="N367" s="174"/>
      <c r="O367" s="173"/>
    </row>
    <row r="368" spans="1:15">
      <c r="A368" s="171"/>
      <c r="B368" s="136"/>
      <c r="N368" s="174"/>
      <c r="O368" s="173"/>
    </row>
    <row r="369" spans="1:15">
      <c r="A369" s="171"/>
      <c r="B369" s="136"/>
      <c r="N369" s="174"/>
      <c r="O369" s="173"/>
    </row>
    <row r="370" spans="1:15">
      <c r="A370" s="171"/>
      <c r="B370" s="136"/>
      <c r="N370" s="174"/>
      <c r="O370" s="173"/>
    </row>
    <row r="371" spans="1:15">
      <c r="A371" s="171"/>
      <c r="B371" s="136"/>
      <c r="N371" s="174"/>
      <c r="O371" s="173"/>
    </row>
    <row r="372" spans="1:15">
      <c r="A372" s="171"/>
      <c r="B372" s="136"/>
      <c r="N372" s="174"/>
      <c r="O372" s="173"/>
    </row>
    <row r="373" spans="1:15">
      <c r="A373" s="171"/>
      <c r="B373" s="136"/>
      <c r="N373" s="174"/>
      <c r="O373" s="173"/>
    </row>
    <row r="374" spans="1:15">
      <c r="A374" s="171"/>
      <c r="B374" s="136"/>
      <c r="N374" s="174"/>
      <c r="O374" s="173"/>
    </row>
    <row r="375" spans="1:15">
      <c r="A375" s="171"/>
      <c r="B375" s="136"/>
      <c r="N375" s="174"/>
      <c r="O375" s="173"/>
    </row>
    <row r="376" spans="1:15">
      <c r="A376" s="171"/>
      <c r="B376" s="136"/>
      <c r="N376" s="174"/>
      <c r="O376" s="173"/>
    </row>
    <row r="377" spans="1:15">
      <c r="A377" s="171"/>
      <c r="B377" s="136"/>
      <c r="N377" s="174"/>
      <c r="O377" s="173"/>
    </row>
    <row r="378" spans="1:15">
      <c r="A378" s="171"/>
      <c r="B378" s="136"/>
      <c r="N378" s="174"/>
      <c r="O378" s="173"/>
    </row>
    <row r="379" spans="1:15">
      <c r="A379" s="171"/>
      <c r="B379" s="136"/>
      <c r="N379" s="174"/>
      <c r="O379" s="173"/>
    </row>
    <row r="380" spans="1:15">
      <c r="A380" s="171"/>
      <c r="B380" s="136"/>
      <c r="N380" s="174"/>
      <c r="O380" s="173"/>
    </row>
    <row r="381" spans="1:15">
      <c r="A381" s="171"/>
      <c r="B381" s="136"/>
      <c r="N381" s="174"/>
      <c r="O381" s="173"/>
    </row>
    <row r="382" spans="1:15">
      <c r="A382" s="171"/>
      <c r="B382" s="136"/>
      <c r="N382" s="174"/>
      <c r="O382" s="173"/>
    </row>
    <row r="383" spans="1:15">
      <c r="A383" s="171"/>
      <c r="B383" s="136"/>
      <c r="N383" s="174"/>
      <c r="O383" s="173"/>
    </row>
    <row r="384" spans="1:15">
      <c r="A384" s="171"/>
      <c r="B384" s="136"/>
      <c r="N384" s="174"/>
      <c r="O384" s="173"/>
    </row>
    <row r="385" spans="1:15">
      <c r="A385" s="171"/>
      <c r="B385" s="136"/>
      <c r="N385" s="174"/>
      <c r="O385" s="173"/>
    </row>
    <row r="386" spans="1:15">
      <c r="A386" s="171"/>
      <c r="B386" s="136"/>
      <c r="N386" s="174"/>
      <c r="O386" s="173"/>
    </row>
    <row r="387" spans="1:15">
      <c r="A387" s="171"/>
      <c r="B387" s="136"/>
      <c r="N387" s="174"/>
      <c r="O387" s="173"/>
    </row>
    <row r="388" spans="1:15">
      <c r="A388" s="171"/>
      <c r="B388" s="136"/>
      <c r="N388" s="174"/>
      <c r="O388" s="173"/>
    </row>
    <row r="389" spans="1:15">
      <c r="A389" s="171"/>
      <c r="B389" s="136"/>
      <c r="N389" s="174"/>
      <c r="O389" s="173"/>
    </row>
    <row r="390" spans="1:15">
      <c r="A390" s="171"/>
      <c r="B390" s="136"/>
      <c r="N390" s="174"/>
      <c r="O390" s="173"/>
    </row>
    <row r="391" spans="1:15">
      <c r="A391" s="171"/>
      <c r="B391" s="136"/>
      <c r="N391" s="174"/>
      <c r="O391" s="173"/>
    </row>
    <row r="392" spans="1:15">
      <c r="A392" s="171"/>
      <c r="B392" s="136"/>
      <c r="N392" s="174"/>
      <c r="O392" s="173"/>
    </row>
    <row r="393" spans="1:15">
      <c r="A393" s="171"/>
      <c r="B393" s="136"/>
      <c r="N393" s="174"/>
      <c r="O393" s="173"/>
    </row>
    <row r="394" spans="1:15">
      <c r="A394" s="171"/>
      <c r="B394" s="136"/>
      <c r="N394" s="174"/>
      <c r="O394" s="173"/>
    </row>
    <row r="395" spans="1:15">
      <c r="A395" s="171"/>
      <c r="B395" s="136"/>
      <c r="N395" s="174"/>
      <c r="O395" s="173"/>
    </row>
    <row r="396" spans="1:15">
      <c r="A396" s="171"/>
      <c r="B396" s="136"/>
      <c r="N396" s="174"/>
      <c r="O396" s="173"/>
    </row>
    <row r="397" spans="1:15">
      <c r="A397" s="171"/>
      <c r="B397" s="136"/>
      <c r="N397" s="174"/>
      <c r="O397" s="173"/>
    </row>
    <row r="398" spans="1:15">
      <c r="A398" s="171"/>
      <c r="B398" s="136"/>
      <c r="N398" s="174"/>
      <c r="O398" s="173"/>
    </row>
    <row r="399" spans="1:15">
      <c r="A399" s="171"/>
      <c r="B399" s="136"/>
      <c r="N399" s="174"/>
      <c r="O399" s="173"/>
    </row>
    <row r="400" spans="1:15">
      <c r="A400" s="171"/>
      <c r="B400" s="136"/>
      <c r="N400" s="174"/>
      <c r="O400" s="173"/>
    </row>
    <row r="401" spans="1:15">
      <c r="A401" s="171"/>
      <c r="B401" s="136"/>
      <c r="N401" s="174"/>
      <c r="O401" s="173"/>
    </row>
    <row r="402" spans="1:15">
      <c r="A402" s="171"/>
      <c r="B402" s="136"/>
      <c r="N402" s="174"/>
      <c r="O402" s="173"/>
    </row>
    <row r="403" spans="1:15">
      <c r="A403" s="171"/>
      <c r="B403" s="136"/>
      <c r="N403" s="174"/>
      <c r="O403" s="173"/>
    </row>
    <row r="404" spans="1:15">
      <c r="A404" s="171"/>
      <c r="B404" s="136"/>
      <c r="N404" s="174"/>
      <c r="O404" s="173"/>
    </row>
    <row r="405" spans="1:15">
      <c r="A405" s="171"/>
      <c r="B405" s="136"/>
      <c r="N405" s="174"/>
      <c r="O405" s="173"/>
    </row>
    <row r="406" spans="1:15">
      <c r="A406" s="171"/>
      <c r="B406" s="136"/>
      <c r="N406" s="174"/>
      <c r="O406" s="173"/>
    </row>
    <row r="407" spans="1:15">
      <c r="A407" s="171"/>
      <c r="B407" s="136"/>
      <c r="N407" s="174"/>
      <c r="O407" s="173"/>
    </row>
    <row r="408" spans="1:15">
      <c r="A408" s="171"/>
      <c r="B408" s="136"/>
      <c r="N408" s="174"/>
      <c r="O408" s="173"/>
    </row>
    <row r="409" spans="1:15">
      <c r="A409" s="171"/>
      <c r="B409" s="136"/>
      <c r="N409" s="174"/>
      <c r="O409" s="173"/>
    </row>
    <row r="410" spans="1:15">
      <c r="A410" s="171"/>
      <c r="B410" s="136"/>
      <c r="N410" s="174"/>
      <c r="O410" s="173"/>
    </row>
    <row r="411" spans="1:15">
      <c r="A411" s="171"/>
      <c r="B411" s="136"/>
      <c r="N411" s="174"/>
      <c r="O411" s="173"/>
    </row>
    <row r="412" spans="1:15">
      <c r="A412" s="171"/>
      <c r="B412" s="136"/>
      <c r="N412" s="174"/>
      <c r="O412" s="173"/>
    </row>
    <row r="413" spans="1:15">
      <c r="A413" s="171"/>
      <c r="B413" s="136"/>
      <c r="N413" s="174"/>
      <c r="O413" s="173"/>
    </row>
    <row r="414" spans="1:15">
      <c r="A414" s="171"/>
      <c r="B414" s="136"/>
      <c r="N414" s="174"/>
      <c r="O414" s="173"/>
    </row>
    <row r="415" spans="1:15">
      <c r="A415" s="171"/>
      <c r="B415" s="136"/>
      <c r="N415" s="174"/>
      <c r="O415" s="173"/>
    </row>
    <row r="416" spans="1:15">
      <c r="A416" s="171"/>
      <c r="B416" s="136"/>
      <c r="N416" s="174"/>
      <c r="O416" s="173"/>
    </row>
    <row r="417" spans="1:15">
      <c r="A417" s="171"/>
      <c r="B417" s="136"/>
      <c r="N417" s="174"/>
      <c r="O417" s="173"/>
    </row>
    <row r="418" spans="1:15">
      <c r="A418" s="171"/>
      <c r="B418" s="136"/>
      <c r="N418" s="174"/>
      <c r="O418" s="173"/>
    </row>
    <row r="419" spans="1:15">
      <c r="A419" s="171"/>
      <c r="B419" s="136"/>
      <c r="N419" s="174"/>
      <c r="O419" s="173"/>
    </row>
    <row r="420" spans="1:15">
      <c r="A420" s="171"/>
      <c r="B420" s="136"/>
      <c r="N420" s="174"/>
      <c r="O420" s="173"/>
    </row>
    <row r="421" spans="1:15">
      <c r="A421" s="171"/>
      <c r="B421" s="136"/>
      <c r="N421" s="174"/>
      <c r="O421" s="173"/>
    </row>
    <row r="422" spans="1:15">
      <c r="A422" s="171"/>
      <c r="B422" s="136"/>
      <c r="N422" s="174"/>
      <c r="O422" s="173"/>
    </row>
    <row r="423" spans="1:15">
      <c r="A423" s="171"/>
      <c r="B423" s="136"/>
      <c r="N423" s="174"/>
      <c r="O423" s="173"/>
    </row>
    <row r="424" spans="1:15">
      <c r="A424" s="171"/>
      <c r="B424" s="136"/>
      <c r="N424" s="174"/>
      <c r="O424" s="173"/>
    </row>
    <row r="425" spans="1:15">
      <c r="A425" s="171"/>
      <c r="B425" s="136"/>
      <c r="N425" s="174"/>
      <c r="O425" s="173"/>
    </row>
    <row r="426" spans="1:15">
      <c r="A426" s="171"/>
      <c r="B426" s="136"/>
      <c r="N426" s="174"/>
      <c r="O426" s="173"/>
    </row>
    <row r="427" spans="1:15">
      <c r="A427" s="171"/>
      <c r="B427" s="136"/>
      <c r="N427" s="174"/>
      <c r="O427" s="173"/>
    </row>
    <row r="428" spans="1:15">
      <c r="A428" s="171"/>
      <c r="B428" s="136"/>
      <c r="N428" s="174"/>
      <c r="O428" s="173"/>
    </row>
    <row r="429" spans="1:15">
      <c r="A429" s="171"/>
      <c r="B429" s="136"/>
      <c r="N429" s="174"/>
      <c r="O429" s="173"/>
    </row>
    <row r="430" spans="1:15">
      <c r="A430" s="171"/>
      <c r="B430" s="136"/>
      <c r="N430" s="174"/>
      <c r="O430" s="173"/>
    </row>
    <row r="431" spans="1:15">
      <c r="A431" s="171"/>
      <c r="B431" s="136"/>
      <c r="N431" s="174"/>
      <c r="O431" s="173"/>
    </row>
    <row r="432" spans="1:15">
      <c r="A432" s="171"/>
      <c r="B432" s="136"/>
      <c r="N432" s="174"/>
      <c r="O432" s="173"/>
    </row>
    <row r="433" spans="1:15">
      <c r="A433" s="171"/>
      <c r="B433" s="136"/>
      <c r="N433" s="174"/>
      <c r="O433" s="173"/>
    </row>
    <row r="434" spans="1:15">
      <c r="A434" s="171"/>
      <c r="B434" s="136"/>
      <c r="N434" s="174"/>
      <c r="O434" s="173"/>
    </row>
    <row r="435" spans="1:15">
      <c r="A435" s="171"/>
      <c r="B435" s="136"/>
      <c r="N435" s="174"/>
      <c r="O435" s="173"/>
    </row>
    <row r="436" spans="1:15">
      <c r="A436" s="171"/>
      <c r="B436" s="136"/>
      <c r="N436" s="174"/>
      <c r="O436" s="173"/>
    </row>
    <row r="437" spans="1:15">
      <c r="A437" s="171"/>
      <c r="B437" s="136"/>
      <c r="N437" s="174"/>
      <c r="O437" s="173"/>
    </row>
    <row r="438" spans="1:15">
      <c r="A438" s="171"/>
      <c r="B438" s="136"/>
      <c r="N438" s="174"/>
      <c r="O438" s="173"/>
    </row>
    <row r="439" spans="1:15">
      <c r="A439" s="171"/>
      <c r="B439" s="136"/>
      <c r="N439" s="174"/>
      <c r="O439" s="173"/>
    </row>
    <row r="440" spans="1:15">
      <c r="A440" s="171"/>
      <c r="B440" s="136"/>
      <c r="N440" s="174"/>
      <c r="O440" s="173"/>
    </row>
    <row r="441" spans="1:15">
      <c r="A441" s="171"/>
      <c r="B441" s="136"/>
      <c r="N441" s="174"/>
      <c r="O441" s="173"/>
    </row>
    <row r="442" spans="1:15">
      <c r="A442" s="171"/>
      <c r="B442" s="136"/>
      <c r="N442" s="174"/>
      <c r="O442" s="173"/>
    </row>
    <row r="443" spans="1:15">
      <c r="A443" s="171"/>
      <c r="B443" s="136"/>
      <c r="N443" s="174"/>
      <c r="O443" s="173"/>
    </row>
    <row r="444" spans="1:15">
      <c r="A444" s="171"/>
      <c r="B444" s="136"/>
      <c r="N444" s="174"/>
      <c r="O444" s="173"/>
    </row>
    <row r="445" spans="1:15">
      <c r="A445" s="171"/>
      <c r="B445" s="136"/>
      <c r="N445" s="174"/>
      <c r="O445" s="173"/>
    </row>
    <row r="446" spans="1:15">
      <c r="A446" s="171"/>
      <c r="B446" s="136"/>
      <c r="N446" s="174"/>
      <c r="O446" s="173"/>
    </row>
    <row r="447" spans="1:15">
      <c r="A447" s="171"/>
      <c r="B447" s="136"/>
      <c r="N447" s="174"/>
      <c r="O447" s="173"/>
    </row>
    <row r="448" spans="1:15">
      <c r="A448" s="171"/>
      <c r="B448" s="136"/>
      <c r="N448" s="174"/>
      <c r="O448" s="173"/>
    </row>
    <row r="449" spans="1:15">
      <c r="A449" s="171"/>
      <c r="B449" s="136"/>
      <c r="N449" s="174"/>
      <c r="O449" s="173"/>
    </row>
    <row r="450" spans="1:15">
      <c r="A450" s="171"/>
      <c r="B450" s="136"/>
      <c r="N450" s="174"/>
      <c r="O450" s="173"/>
    </row>
    <row r="451" spans="1:15">
      <c r="A451" s="171"/>
      <c r="B451" s="136"/>
      <c r="N451" s="174"/>
      <c r="O451" s="173"/>
    </row>
    <row r="452" spans="1:15">
      <c r="A452" s="171"/>
      <c r="B452" s="136"/>
      <c r="N452" s="174"/>
      <c r="O452" s="173"/>
    </row>
    <row r="453" spans="1:15">
      <c r="A453" s="171"/>
      <c r="B453" s="136"/>
      <c r="N453" s="174"/>
      <c r="O453" s="173"/>
    </row>
    <row r="454" spans="1:15">
      <c r="A454" s="171"/>
      <c r="B454" s="136"/>
      <c r="N454" s="174"/>
      <c r="O454" s="173"/>
    </row>
    <row r="455" spans="1:15">
      <c r="A455" s="171"/>
      <c r="B455" s="136"/>
      <c r="N455" s="174"/>
      <c r="O455" s="173"/>
    </row>
    <row r="456" spans="1:15">
      <c r="A456" s="171"/>
      <c r="B456" s="136"/>
      <c r="N456" s="174"/>
      <c r="O456" s="173"/>
    </row>
    <row r="457" spans="1:15">
      <c r="A457" s="171"/>
      <c r="B457" s="136"/>
      <c r="N457" s="174"/>
      <c r="O457" s="173"/>
    </row>
    <row r="458" spans="1:15">
      <c r="A458" s="171"/>
      <c r="B458" s="136"/>
      <c r="N458" s="174"/>
      <c r="O458" s="173"/>
    </row>
    <row r="459" spans="1:15">
      <c r="A459" s="171"/>
      <c r="B459" s="136"/>
      <c r="N459" s="174"/>
      <c r="O459" s="173"/>
    </row>
    <row r="460" spans="1:15">
      <c r="A460" s="171"/>
      <c r="B460" s="136"/>
      <c r="N460" s="174"/>
      <c r="O460" s="173"/>
    </row>
    <row r="461" spans="1:15">
      <c r="A461" s="171"/>
      <c r="B461" s="136"/>
      <c r="N461" s="174"/>
      <c r="O461" s="173"/>
    </row>
    <row r="462" spans="1:15">
      <c r="A462" s="171"/>
      <c r="B462" s="136"/>
      <c r="N462" s="174"/>
      <c r="O462" s="173"/>
    </row>
    <row r="463" spans="1:15">
      <c r="A463" s="171"/>
      <c r="B463" s="136"/>
      <c r="N463" s="174"/>
      <c r="O463" s="173"/>
    </row>
    <row r="464" spans="1:15">
      <c r="A464" s="171"/>
      <c r="B464" s="136"/>
      <c r="N464" s="174"/>
      <c r="O464" s="173"/>
    </row>
    <row r="465" spans="1:15">
      <c r="A465" s="171"/>
      <c r="B465" s="136"/>
      <c r="N465" s="174"/>
      <c r="O465" s="173"/>
    </row>
    <row r="466" spans="1:15">
      <c r="A466" s="171"/>
      <c r="B466" s="136"/>
      <c r="N466" s="174"/>
      <c r="O466" s="173"/>
    </row>
    <row r="467" spans="1:15">
      <c r="A467" s="171"/>
      <c r="B467" s="136"/>
      <c r="N467" s="174"/>
      <c r="O467" s="173"/>
    </row>
    <row r="468" spans="1:15">
      <c r="A468" s="171"/>
      <c r="B468" s="136"/>
      <c r="N468" s="174"/>
      <c r="O468" s="173"/>
    </row>
    <row r="469" spans="1:15">
      <c r="A469" s="171"/>
      <c r="B469" s="136"/>
      <c r="N469" s="174"/>
      <c r="O469" s="173"/>
    </row>
    <row r="470" spans="1:15">
      <c r="A470" s="171"/>
      <c r="B470" s="136"/>
      <c r="N470" s="174"/>
      <c r="O470" s="173"/>
    </row>
    <row r="471" spans="1:15">
      <c r="A471" s="171"/>
      <c r="B471" s="136"/>
      <c r="N471" s="174"/>
      <c r="O471" s="173"/>
    </row>
    <row r="472" spans="1:15">
      <c r="A472" s="171"/>
      <c r="B472" s="136"/>
      <c r="N472" s="174"/>
      <c r="O472" s="173"/>
    </row>
    <row r="473" spans="1:15">
      <c r="A473" s="171"/>
      <c r="B473" s="136"/>
      <c r="N473" s="174"/>
      <c r="O473" s="173"/>
    </row>
    <row r="474" spans="1:15">
      <c r="A474" s="171"/>
      <c r="B474" s="136"/>
      <c r="N474" s="174"/>
      <c r="O474" s="173"/>
    </row>
    <row r="475" spans="1:15">
      <c r="A475" s="171"/>
      <c r="B475" s="136"/>
      <c r="N475" s="174"/>
      <c r="O475" s="173"/>
    </row>
    <row r="476" spans="1:15">
      <c r="A476" s="171"/>
      <c r="B476" s="136"/>
      <c r="N476" s="174"/>
      <c r="O476" s="173"/>
    </row>
    <row r="477" spans="1:15">
      <c r="A477" s="171"/>
      <c r="B477" s="136"/>
      <c r="N477" s="174"/>
      <c r="O477" s="173"/>
    </row>
    <row r="478" spans="1:15">
      <c r="A478" s="171"/>
      <c r="B478" s="136"/>
      <c r="N478" s="174"/>
      <c r="O478" s="173"/>
    </row>
    <row r="479" spans="1:15">
      <c r="A479" s="171"/>
      <c r="B479" s="136"/>
      <c r="N479" s="174"/>
      <c r="O479" s="173"/>
    </row>
    <row r="480" spans="1:15">
      <c r="A480" s="171"/>
      <c r="B480" s="136"/>
      <c r="N480" s="174"/>
      <c r="O480" s="173"/>
    </row>
    <row r="481" spans="1:15">
      <c r="A481" s="171"/>
      <c r="B481" s="136"/>
      <c r="N481" s="174"/>
      <c r="O481" s="173"/>
    </row>
    <row r="482" spans="1:15">
      <c r="A482" s="171"/>
      <c r="B482" s="136"/>
      <c r="N482" s="174"/>
      <c r="O482" s="173"/>
    </row>
    <row r="483" spans="1:15">
      <c r="A483" s="171"/>
      <c r="B483" s="136"/>
      <c r="N483" s="174"/>
      <c r="O483" s="173"/>
    </row>
    <row r="484" spans="1:15">
      <c r="A484" s="171"/>
      <c r="B484" s="136"/>
      <c r="N484" s="174"/>
      <c r="O484" s="173"/>
    </row>
    <row r="485" spans="1:15">
      <c r="A485" s="171"/>
      <c r="B485" s="136"/>
      <c r="N485" s="174"/>
      <c r="O485" s="173"/>
    </row>
    <row r="486" spans="1:15">
      <c r="A486" s="171"/>
      <c r="B486" s="136"/>
      <c r="N486" s="174"/>
      <c r="O486" s="173"/>
    </row>
    <row r="487" spans="1:15">
      <c r="A487" s="171"/>
      <c r="B487" s="136"/>
      <c r="N487" s="174"/>
      <c r="O487" s="173"/>
    </row>
    <row r="488" spans="1:15">
      <c r="A488" s="171"/>
      <c r="B488" s="136"/>
      <c r="N488" s="174"/>
      <c r="O488" s="173"/>
    </row>
    <row r="489" spans="1:15">
      <c r="A489" s="171"/>
      <c r="B489" s="136"/>
      <c r="N489" s="174"/>
      <c r="O489" s="173"/>
    </row>
    <row r="490" spans="1:15">
      <c r="A490" s="171"/>
      <c r="B490" s="136"/>
      <c r="N490" s="174"/>
      <c r="O490" s="173"/>
    </row>
    <row r="491" spans="1:15">
      <c r="A491" s="171"/>
      <c r="B491" s="136"/>
      <c r="N491" s="174"/>
      <c r="O491" s="173"/>
    </row>
    <row r="492" spans="1:15">
      <c r="A492" s="171"/>
      <c r="B492" s="136"/>
      <c r="N492" s="174"/>
      <c r="O492" s="173"/>
    </row>
    <row r="493" spans="1:15">
      <c r="A493" s="171"/>
      <c r="B493" s="136"/>
      <c r="N493" s="174"/>
      <c r="O493" s="173"/>
    </row>
    <row r="494" spans="1:15">
      <c r="A494" s="171"/>
      <c r="B494" s="136"/>
      <c r="N494" s="174"/>
      <c r="O494" s="173"/>
    </row>
    <row r="495" spans="1:15">
      <c r="A495" s="171"/>
      <c r="B495" s="136"/>
      <c r="N495" s="174"/>
      <c r="O495" s="173"/>
    </row>
    <row r="496" spans="1:15">
      <c r="A496" s="171"/>
      <c r="B496" s="136"/>
      <c r="N496" s="174"/>
      <c r="O496" s="173"/>
    </row>
    <row r="497" spans="1:15">
      <c r="A497" s="171"/>
      <c r="B497" s="136"/>
      <c r="N497" s="174"/>
      <c r="O497" s="173"/>
    </row>
    <row r="498" spans="1:15">
      <c r="A498" s="171"/>
      <c r="B498" s="136"/>
      <c r="N498" s="174"/>
      <c r="O498" s="173"/>
    </row>
    <row r="499" spans="1:15">
      <c r="A499" s="171"/>
      <c r="B499" s="136"/>
      <c r="N499" s="174"/>
      <c r="O499" s="173"/>
    </row>
    <row r="500" spans="1:15">
      <c r="A500" s="171"/>
      <c r="B500" s="136"/>
      <c r="N500" s="174"/>
      <c r="O500" s="173"/>
    </row>
    <row r="501" spans="1:15">
      <c r="A501" s="171"/>
      <c r="B501" s="136"/>
      <c r="N501" s="174"/>
      <c r="O501" s="173"/>
    </row>
    <row r="502" spans="1:15">
      <c r="A502" s="171"/>
      <c r="B502" s="136"/>
      <c r="N502" s="174"/>
      <c r="O502" s="173"/>
    </row>
    <row r="503" spans="1:15">
      <c r="A503" s="171"/>
      <c r="B503" s="136"/>
      <c r="N503" s="174"/>
      <c r="O503" s="173"/>
    </row>
    <row r="504" spans="1:15">
      <c r="A504" s="171"/>
      <c r="B504" s="136"/>
      <c r="N504" s="174"/>
      <c r="O504" s="173"/>
    </row>
    <row r="505" spans="1:15">
      <c r="A505" s="171"/>
      <c r="B505" s="136"/>
      <c r="N505" s="174"/>
      <c r="O505" s="173"/>
    </row>
    <row r="506" spans="1:15">
      <c r="A506" s="171"/>
      <c r="B506" s="136"/>
      <c r="N506" s="174"/>
      <c r="O506" s="173"/>
    </row>
    <row r="507" spans="1:15">
      <c r="A507" s="171"/>
      <c r="B507" s="136"/>
      <c r="N507" s="174"/>
      <c r="O507" s="173"/>
    </row>
    <row r="508" spans="1:15">
      <c r="A508" s="171"/>
      <c r="B508" s="136"/>
      <c r="N508" s="174"/>
      <c r="O508" s="173"/>
    </row>
    <row r="509" spans="1:15">
      <c r="A509" s="171"/>
      <c r="B509" s="136"/>
      <c r="N509" s="174"/>
      <c r="O509" s="173"/>
    </row>
    <row r="510" spans="1:15">
      <c r="A510" s="171"/>
      <c r="B510" s="136"/>
      <c r="N510" s="174"/>
      <c r="O510" s="173"/>
    </row>
    <row r="511" spans="1:15">
      <c r="A511" s="171"/>
      <c r="B511" s="136"/>
      <c r="N511" s="174"/>
      <c r="O511" s="173"/>
    </row>
    <row r="512" spans="1:15">
      <c r="A512" s="171"/>
      <c r="B512" s="136"/>
      <c r="N512" s="174"/>
      <c r="O512" s="173"/>
    </row>
    <row r="513" spans="1:15">
      <c r="A513" s="171"/>
      <c r="B513" s="136"/>
      <c r="N513" s="174"/>
      <c r="O513" s="173"/>
    </row>
    <row r="514" spans="1:15">
      <c r="A514" s="171"/>
      <c r="B514" s="136"/>
      <c r="N514" s="174"/>
      <c r="O514" s="173"/>
    </row>
    <row r="515" spans="1:15">
      <c r="A515" s="171"/>
      <c r="B515" s="136"/>
      <c r="N515" s="174"/>
      <c r="O515" s="173"/>
    </row>
    <row r="516" spans="1:15">
      <c r="A516" s="171"/>
      <c r="B516" s="136"/>
      <c r="N516" s="174"/>
      <c r="O516" s="173"/>
    </row>
    <row r="517" spans="1:15">
      <c r="A517" s="171"/>
      <c r="B517" s="136"/>
      <c r="N517" s="174"/>
      <c r="O517" s="173"/>
    </row>
    <row r="518" spans="1:15">
      <c r="A518" s="171"/>
      <c r="B518" s="136"/>
      <c r="N518" s="174"/>
      <c r="O518" s="173"/>
    </row>
    <row r="519" spans="1:15">
      <c r="A519" s="171"/>
      <c r="B519" s="136"/>
      <c r="N519" s="174"/>
      <c r="O519" s="173"/>
    </row>
    <row r="520" spans="1:15">
      <c r="A520" s="171"/>
      <c r="B520" s="136"/>
      <c r="N520" s="174"/>
      <c r="O520" s="173"/>
    </row>
    <row r="521" spans="1:15">
      <c r="A521" s="171"/>
      <c r="B521" s="136"/>
      <c r="N521" s="174"/>
      <c r="O521" s="173"/>
    </row>
    <row r="522" spans="1:15">
      <c r="A522" s="171"/>
      <c r="B522" s="136"/>
      <c r="N522" s="174"/>
      <c r="O522" s="173"/>
    </row>
    <row r="523" spans="1:15">
      <c r="A523" s="171"/>
      <c r="B523" s="136"/>
      <c r="N523" s="174"/>
      <c r="O523" s="173"/>
    </row>
    <row r="524" spans="1:15">
      <c r="A524" s="171"/>
      <c r="B524" s="136"/>
      <c r="N524" s="174"/>
      <c r="O524" s="173"/>
    </row>
    <row r="525" spans="1:15">
      <c r="A525" s="171"/>
      <c r="B525" s="136"/>
      <c r="N525" s="174"/>
      <c r="O525" s="173"/>
    </row>
    <row r="526" spans="1:15">
      <c r="A526" s="171"/>
      <c r="B526" s="136"/>
      <c r="N526" s="174"/>
      <c r="O526" s="173"/>
    </row>
    <row r="527" spans="1:15">
      <c r="A527" s="171"/>
      <c r="B527" s="136"/>
      <c r="N527" s="174"/>
      <c r="O527" s="173"/>
    </row>
    <row r="528" spans="1:15">
      <c r="A528" s="171"/>
      <c r="B528" s="136"/>
      <c r="N528" s="174"/>
      <c r="O528" s="173"/>
    </row>
    <row r="529" spans="1:15">
      <c r="A529" s="171"/>
      <c r="B529" s="136"/>
      <c r="N529" s="174"/>
      <c r="O529" s="173"/>
    </row>
    <row r="530" spans="1:15">
      <c r="A530" s="171"/>
      <c r="B530" s="136"/>
      <c r="N530" s="174"/>
      <c r="O530" s="173"/>
    </row>
    <row r="531" spans="1:15">
      <c r="A531" s="171"/>
      <c r="B531" s="136"/>
      <c r="N531" s="174"/>
      <c r="O531" s="173"/>
    </row>
    <row r="532" spans="1:15">
      <c r="A532" s="171"/>
      <c r="B532" s="136"/>
      <c r="N532" s="174"/>
      <c r="O532" s="173"/>
    </row>
    <row r="533" spans="1:15">
      <c r="A533" s="171"/>
      <c r="B533" s="136"/>
      <c r="N533" s="174"/>
      <c r="O533" s="173"/>
    </row>
    <row r="534" spans="1:15">
      <c r="A534" s="171"/>
      <c r="B534" s="136"/>
      <c r="N534" s="174"/>
      <c r="O534" s="173"/>
    </row>
    <row r="535" spans="1:15">
      <c r="A535" s="171"/>
      <c r="B535" s="136"/>
      <c r="N535" s="174"/>
      <c r="O535" s="173"/>
    </row>
    <row r="536" spans="1:15">
      <c r="A536" s="171"/>
      <c r="B536" s="136"/>
      <c r="N536" s="174"/>
      <c r="O536" s="173"/>
    </row>
    <row r="537" spans="1:15">
      <c r="A537" s="171"/>
      <c r="B537" s="136"/>
      <c r="N537" s="174"/>
      <c r="O537" s="173"/>
    </row>
    <row r="538" spans="1:15">
      <c r="A538" s="171"/>
      <c r="B538" s="136"/>
      <c r="N538" s="174"/>
      <c r="O538" s="173"/>
    </row>
    <row r="539" spans="1:15">
      <c r="A539" s="171"/>
      <c r="B539" s="136"/>
      <c r="N539" s="174"/>
      <c r="O539" s="173"/>
    </row>
    <row r="540" spans="1:15">
      <c r="A540" s="171"/>
      <c r="B540" s="136"/>
      <c r="N540" s="174"/>
      <c r="O540" s="173"/>
    </row>
    <row r="541" spans="1:15">
      <c r="A541" s="171"/>
      <c r="B541" s="136"/>
      <c r="N541" s="174"/>
      <c r="O541" s="173"/>
    </row>
    <row r="542" spans="1:15">
      <c r="A542" s="171"/>
      <c r="B542" s="136"/>
      <c r="N542" s="174"/>
      <c r="O542" s="173"/>
    </row>
    <row r="543" spans="1:15">
      <c r="A543" s="171"/>
      <c r="B543" s="136"/>
      <c r="N543" s="174"/>
      <c r="O543" s="173"/>
    </row>
    <row r="544" spans="1:15">
      <c r="A544" s="171"/>
      <c r="B544" s="136"/>
      <c r="N544" s="174"/>
      <c r="O544" s="173"/>
    </row>
    <row r="545" spans="1:15">
      <c r="A545" s="171"/>
      <c r="B545" s="136"/>
      <c r="N545" s="174"/>
      <c r="O545" s="173"/>
    </row>
    <row r="546" spans="1:15">
      <c r="A546" s="171"/>
      <c r="B546" s="136"/>
      <c r="N546" s="174"/>
      <c r="O546" s="173"/>
    </row>
    <row r="547" spans="1:15">
      <c r="A547" s="171"/>
      <c r="B547" s="136"/>
      <c r="N547" s="174"/>
      <c r="O547" s="173"/>
    </row>
    <row r="548" spans="1:15">
      <c r="A548" s="171"/>
      <c r="B548" s="136"/>
      <c r="N548" s="174"/>
      <c r="O548" s="173"/>
    </row>
    <row r="549" spans="1:15">
      <c r="A549" s="171"/>
      <c r="B549" s="136"/>
      <c r="N549" s="174"/>
      <c r="O549" s="173"/>
    </row>
    <row r="550" spans="1:15">
      <c r="A550" s="171"/>
      <c r="B550" s="136"/>
      <c r="N550" s="174"/>
      <c r="O550" s="173"/>
    </row>
    <row r="551" spans="1:15">
      <c r="A551" s="171"/>
      <c r="B551" s="136"/>
      <c r="N551" s="174"/>
      <c r="O551" s="173"/>
    </row>
    <row r="552" spans="1:15">
      <c r="A552" s="171"/>
      <c r="B552" s="136"/>
      <c r="N552" s="174"/>
      <c r="O552" s="173"/>
    </row>
    <row r="553" spans="1:15">
      <c r="A553" s="171"/>
      <c r="B553" s="136"/>
      <c r="N553" s="174"/>
      <c r="O553" s="173"/>
    </row>
    <row r="554" spans="1:15">
      <c r="A554" s="171"/>
      <c r="B554" s="136"/>
      <c r="N554" s="174"/>
      <c r="O554" s="173"/>
    </row>
    <row r="555" spans="1:15">
      <c r="A555" s="171"/>
      <c r="B555" s="136"/>
      <c r="N555" s="174"/>
      <c r="O555" s="173"/>
    </row>
    <row r="556" spans="1:15">
      <c r="A556" s="171"/>
      <c r="B556" s="136"/>
      <c r="N556" s="174"/>
      <c r="O556" s="173"/>
    </row>
    <row r="557" spans="1:15">
      <c r="A557" s="171"/>
      <c r="B557" s="136"/>
      <c r="N557" s="174"/>
      <c r="O557" s="173"/>
    </row>
    <row r="558" spans="1:15">
      <c r="A558" s="171"/>
      <c r="B558" s="136"/>
      <c r="N558" s="174"/>
      <c r="O558" s="173"/>
    </row>
    <row r="559" spans="1:15">
      <c r="A559" s="171"/>
      <c r="B559" s="136"/>
      <c r="N559" s="174"/>
      <c r="O559" s="173"/>
    </row>
    <row r="560" spans="1:15">
      <c r="A560" s="171"/>
      <c r="B560" s="136"/>
      <c r="N560" s="174"/>
      <c r="O560" s="173"/>
    </row>
    <row r="561" spans="1:15">
      <c r="A561" s="171"/>
      <c r="B561" s="136"/>
      <c r="N561" s="174"/>
      <c r="O561" s="173"/>
    </row>
    <row r="562" spans="1:15">
      <c r="A562" s="171"/>
      <c r="B562" s="136"/>
      <c r="N562" s="174"/>
      <c r="O562" s="173"/>
    </row>
    <row r="563" spans="1:15">
      <c r="A563" s="171"/>
      <c r="B563" s="136"/>
      <c r="N563" s="174"/>
      <c r="O563" s="173"/>
    </row>
    <row r="564" spans="1:15">
      <c r="A564" s="171"/>
      <c r="B564" s="136"/>
      <c r="N564" s="174"/>
      <c r="O564" s="173"/>
    </row>
    <row r="565" spans="1:15">
      <c r="A565" s="171"/>
      <c r="B565" s="136"/>
      <c r="N565" s="174"/>
      <c r="O565" s="173"/>
    </row>
    <row r="566" spans="1:15">
      <c r="A566" s="171"/>
      <c r="B566" s="136"/>
      <c r="N566" s="174"/>
      <c r="O566" s="173"/>
    </row>
    <row r="567" spans="1:15">
      <c r="A567" s="171"/>
      <c r="B567" s="136"/>
      <c r="N567" s="174"/>
      <c r="O567" s="173"/>
    </row>
    <row r="568" spans="1:15">
      <c r="A568" s="171"/>
      <c r="B568" s="136"/>
      <c r="N568" s="174"/>
      <c r="O568" s="173"/>
    </row>
    <row r="569" spans="1:15">
      <c r="A569" s="171"/>
      <c r="B569" s="136"/>
      <c r="N569" s="174"/>
      <c r="O569" s="173"/>
    </row>
    <row r="570" spans="1:15">
      <c r="A570" s="171"/>
      <c r="B570" s="136"/>
      <c r="N570" s="174"/>
      <c r="O570" s="173"/>
    </row>
    <row r="571" spans="1:15">
      <c r="A571" s="171"/>
      <c r="B571" s="136"/>
      <c r="N571" s="174"/>
      <c r="O571" s="173"/>
    </row>
    <row r="572" spans="1:15">
      <c r="A572" s="171"/>
      <c r="B572" s="136"/>
      <c r="N572" s="174"/>
      <c r="O572" s="173"/>
    </row>
    <row r="573" spans="1:15">
      <c r="A573" s="171"/>
      <c r="B573" s="136"/>
      <c r="N573" s="174"/>
      <c r="O573" s="173"/>
    </row>
    <row r="574" spans="1:15">
      <c r="A574" s="171"/>
      <c r="B574" s="136"/>
      <c r="N574" s="174"/>
      <c r="O574" s="173"/>
    </row>
    <row r="575" spans="1:15">
      <c r="A575" s="171"/>
      <c r="B575" s="136"/>
      <c r="N575" s="174"/>
      <c r="O575" s="173"/>
    </row>
    <row r="576" spans="1:15">
      <c r="A576" s="171"/>
      <c r="B576" s="136"/>
      <c r="N576" s="174"/>
      <c r="O576" s="173"/>
    </row>
    <row r="577" spans="1:15">
      <c r="A577" s="171"/>
      <c r="B577" s="136"/>
      <c r="N577" s="174"/>
      <c r="O577" s="173"/>
    </row>
    <row r="578" spans="1:15">
      <c r="A578" s="171"/>
      <c r="B578" s="136"/>
      <c r="N578" s="174"/>
      <c r="O578" s="173"/>
    </row>
    <row r="579" spans="1:15">
      <c r="A579" s="171"/>
      <c r="B579" s="136"/>
      <c r="N579" s="174"/>
      <c r="O579" s="173"/>
    </row>
    <row r="580" spans="1:15">
      <c r="A580" s="171"/>
      <c r="B580" s="136"/>
      <c r="N580" s="174"/>
      <c r="O580" s="173"/>
    </row>
    <row r="581" spans="1:15">
      <c r="A581" s="171"/>
      <c r="B581" s="136"/>
      <c r="N581" s="174"/>
      <c r="O581" s="173"/>
    </row>
    <row r="582" spans="1:15">
      <c r="A582" s="171"/>
      <c r="B582" s="136"/>
      <c r="N582" s="174"/>
      <c r="O582" s="173"/>
    </row>
    <row r="583" spans="1:15">
      <c r="A583" s="171"/>
      <c r="B583" s="136"/>
      <c r="N583" s="174"/>
      <c r="O583" s="173"/>
    </row>
    <row r="584" spans="1:15">
      <c r="A584" s="171"/>
      <c r="B584" s="136"/>
      <c r="N584" s="174"/>
      <c r="O584" s="173"/>
    </row>
    <row r="585" spans="1:15">
      <c r="A585" s="171"/>
      <c r="B585" s="136"/>
      <c r="N585" s="174"/>
      <c r="O585" s="173"/>
    </row>
    <row r="586" spans="1:15">
      <c r="A586" s="171"/>
      <c r="B586" s="136"/>
      <c r="N586" s="174"/>
      <c r="O586" s="173"/>
    </row>
    <row r="587" spans="1:15">
      <c r="A587" s="171"/>
      <c r="B587" s="136"/>
      <c r="N587" s="174"/>
      <c r="O587" s="173"/>
    </row>
    <row r="588" spans="1:15">
      <c r="A588" s="171"/>
      <c r="B588" s="136"/>
      <c r="N588" s="174"/>
      <c r="O588" s="173"/>
    </row>
    <row r="589" spans="1:15">
      <c r="A589" s="171"/>
      <c r="B589" s="136"/>
      <c r="N589" s="174"/>
      <c r="O589" s="173"/>
    </row>
    <row r="590" spans="1:15">
      <c r="A590" s="171"/>
      <c r="B590" s="136"/>
      <c r="N590" s="174"/>
      <c r="O590" s="173"/>
    </row>
    <row r="591" spans="1:15">
      <c r="A591" s="171"/>
      <c r="B591" s="136"/>
      <c r="N591" s="174"/>
      <c r="O591" s="173"/>
    </row>
    <row r="592" spans="1:15">
      <c r="A592" s="171"/>
      <c r="B592" s="136"/>
      <c r="N592" s="174"/>
      <c r="O592" s="173"/>
    </row>
    <row r="593" spans="1:15">
      <c r="A593" s="171"/>
      <c r="B593" s="136"/>
      <c r="N593" s="174"/>
      <c r="O593" s="173"/>
    </row>
    <row r="594" spans="1:15">
      <c r="A594" s="171"/>
      <c r="B594" s="136"/>
      <c r="N594" s="174"/>
      <c r="O594" s="173"/>
    </row>
    <row r="595" spans="1:15">
      <c r="A595" s="171"/>
      <c r="B595" s="136"/>
      <c r="N595" s="174"/>
      <c r="O595" s="173"/>
    </row>
    <row r="596" spans="1:15">
      <c r="A596" s="171"/>
      <c r="B596" s="136"/>
      <c r="N596" s="174"/>
      <c r="O596" s="173"/>
    </row>
    <row r="597" spans="1:15">
      <c r="A597" s="171"/>
      <c r="B597" s="136"/>
      <c r="N597" s="174"/>
      <c r="O597" s="173"/>
    </row>
    <row r="598" spans="1:15">
      <c r="A598" s="171"/>
      <c r="B598" s="136"/>
      <c r="N598" s="174"/>
      <c r="O598" s="173"/>
    </row>
    <row r="599" spans="1:15">
      <c r="A599" s="171"/>
      <c r="B599" s="136"/>
      <c r="N599" s="174"/>
      <c r="O599" s="173"/>
    </row>
    <row r="600" spans="1:15">
      <c r="A600" s="171"/>
      <c r="B600" s="136"/>
      <c r="N600" s="174"/>
      <c r="O600" s="173"/>
    </row>
    <row r="601" spans="1:15">
      <c r="A601" s="171"/>
      <c r="B601" s="136"/>
      <c r="N601" s="174"/>
      <c r="O601" s="173"/>
    </row>
    <row r="602" spans="1:15">
      <c r="A602" s="171"/>
      <c r="B602" s="136"/>
      <c r="N602" s="174"/>
      <c r="O602" s="173"/>
    </row>
    <row r="603" spans="1:15">
      <c r="A603" s="171"/>
      <c r="B603" s="136"/>
      <c r="N603" s="174"/>
      <c r="O603" s="173"/>
    </row>
    <row r="604" spans="1:15">
      <c r="A604" s="171"/>
      <c r="B604" s="136"/>
      <c r="N604" s="174"/>
      <c r="O604" s="173"/>
    </row>
    <row r="605" spans="1:15">
      <c r="A605" s="171"/>
      <c r="B605" s="136"/>
      <c r="N605" s="174"/>
      <c r="O605" s="173"/>
    </row>
    <row r="606" spans="1:15">
      <c r="A606" s="171"/>
      <c r="B606" s="136"/>
      <c r="N606" s="174"/>
      <c r="O606" s="173"/>
    </row>
    <row r="607" spans="1:15">
      <c r="A607" s="171"/>
      <c r="B607" s="136"/>
      <c r="N607" s="174"/>
      <c r="O607" s="173"/>
    </row>
    <row r="608" spans="1:15">
      <c r="A608" s="171"/>
      <c r="B608" s="136"/>
      <c r="N608" s="174"/>
      <c r="O608" s="173"/>
    </row>
    <row r="609" spans="1:15">
      <c r="A609" s="171"/>
      <c r="B609" s="136"/>
      <c r="N609" s="174"/>
      <c r="O609" s="173"/>
    </row>
    <row r="610" spans="1:15">
      <c r="A610" s="171"/>
      <c r="B610" s="136"/>
      <c r="N610" s="174"/>
      <c r="O610" s="173"/>
    </row>
    <row r="611" spans="1:15">
      <c r="A611" s="171"/>
      <c r="B611" s="136"/>
      <c r="N611" s="174"/>
      <c r="O611" s="173"/>
    </row>
    <row r="612" spans="1:15">
      <c r="A612" s="171"/>
      <c r="B612" s="136"/>
      <c r="N612" s="174"/>
      <c r="O612" s="173"/>
    </row>
    <row r="613" spans="1:15">
      <c r="A613" s="171"/>
      <c r="B613" s="136"/>
      <c r="N613" s="174"/>
      <c r="O613" s="173"/>
    </row>
    <row r="614" spans="1:15">
      <c r="A614" s="171"/>
      <c r="B614" s="136"/>
      <c r="N614" s="174"/>
      <c r="O614" s="173"/>
    </row>
    <row r="615" spans="1:15">
      <c r="A615" s="171"/>
      <c r="B615" s="136"/>
      <c r="N615" s="174"/>
      <c r="O615" s="173"/>
    </row>
    <row r="616" spans="1:15">
      <c r="A616" s="171"/>
      <c r="B616" s="136"/>
      <c r="N616" s="174"/>
      <c r="O616" s="173"/>
    </row>
    <row r="617" spans="1:15">
      <c r="A617" s="171"/>
      <c r="B617" s="136"/>
      <c r="N617" s="174"/>
      <c r="O617" s="173"/>
    </row>
    <row r="618" spans="1:15">
      <c r="A618" s="171"/>
      <c r="B618" s="136"/>
      <c r="N618" s="174"/>
      <c r="O618" s="173"/>
    </row>
    <row r="619" spans="1:15">
      <c r="A619" s="171"/>
      <c r="B619" s="136"/>
      <c r="N619" s="174"/>
      <c r="O619" s="173"/>
    </row>
    <row r="620" spans="1:15">
      <c r="A620" s="171"/>
      <c r="B620" s="136"/>
      <c r="N620" s="174"/>
      <c r="O620" s="173"/>
    </row>
    <row r="621" spans="1:15">
      <c r="A621" s="171"/>
      <c r="B621" s="136"/>
      <c r="N621" s="174"/>
      <c r="O621" s="173"/>
    </row>
    <row r="622" spans="1:15">
      <c r="A622" s="171"/>
      <c r="B622" s="136"/>
      <c r="N622" s="174"/>
      <c r="O622" s="173"/>
    </row>
    <row r="623" spans="1:15">
      <c r="A623" s="171"/>
      <c r="B623" s="136"/>
      <c r="N623" s="174"/>
      <c r="O623" s="173"/>
    </row>
    <row r="624" spans="1:15">
      <c r="A624" s="171"/>
      <c r="B624" s="136"/>
      <c r="N624" s="174"/>
      <c r="O624" s="173"/>
    </row>
    <row r="625" spans="1:15">
      <c r="A625" s="171"/>
      <c r="B625" s="136"/>
      <c r="N625" s="174"/>
      <c r="O625" s="173"/>
    </row>
    <row r="626" spans="1:15">
      <c r="A626" s="171"/>
      <c r="B626" s="136"/>
      <c r="N626" s="174"/>
      <c r="O626" s="173"/>
    </row>
    <row r="627" spans="1:15">
      <c r="A627" s="171"/>
      <c r="B627" s="136"/>
      <c r="N627" s="174"/>
      <c r="O627" s="173"/>
    </row>
    <row r="628" spans="1:15">
      <c r="A628" s="171"/>
      <c r="B628" s="136"/>
      <c r="N628" s="174"/>
      <c r="O628" s="173"/>
    </row>
    <row r="629" spans="1:15">
      <c r="A629" s="171"/>
      <c r="B629" s="136"/>
      <c r="N629" s="174"/>
      <c r="O629" s="173"/>
    </row>
    <row r="630" spans="1:15">
      <c r="A630" s="171"/>
      <c r="B630" s="136"/>
      <c r="N630" s="174"/>
      <c r="O630" s="173"/>
    </row>
    <row r="631" spans="1:15">
      <c r="A631" s="171"/>
      <c r="B631" s="136"/>
      <c r="N631" s="174"/>
      <c r="O631" s="173"/>
    </row>
    <row r="632" spans="1:15">
      <c r="A632" s="171"/>
      <c r="B632" s="136"/>
      <c r="N632" s="174"/>
      <c r="O632" s="173"/>
    </row>
    <row r="633" spans="1:15">
      <c r="A633" s="171"/>
      <c r="B633" s="136"/>
      <c r="N633" s="174"/>
      <c r="O633" s="173"/>
    </row>
    <row r="634" spans="1:15">
      <c r="A634" s="171"/>
      <c r="B634" s="136"/>
      <c r="N634" s="174"/>
      <c r="O634" s="173"/>
    </row>
    <row r="635" spans="1:15">
      <c r="A635" s="171"/>
      <c r="B635" s="136"/>
      <c r="N635" s="174"/>
      <c r="O635" s="173"/>
    </row>
    <row r="636" spans="1:15">
      <c r="A636" s="171"/>
      <c r="B636" s="136"/>
      <c r="N636" s="174"/>
      <c r="O636" s="173"/>
    </row>
    <row r="637" spans="1:15">
      <c r="A637" s="171"/>
      <c r="B637" s="136"/>
      <c r="N637" s="174"/>
      <c r="O637" s="173"/>
    </row>
    <row r="638" spans="1:15">
      <c r="A638" s="171"/>
      <c r="B638" s="136"/>
      <c r="N638" s="174"/>
      <c r="O638" s="173"/>
    </row>
    <row r="639" spans="1:15">
      <c r="A639" s="171"/>
      <c r="B639" s="136"/>
      <c r="N639" s="174"/>
      <c r="O639" s="173"/>
    </row>
    <row r="640" spans="1:15">
      <c r="A640" s="171"/>
      <c r="B640" s="136"/>
      <c r="N640" s="174"/>
      <c r="O640" s="173"/>
    </row>
    <row r="641" spans="1:15">
      <c r="A641" s="171"/>
      <c r="B641" s="136"/>
      <c r="N641" s="174"/>
      <c r="O641" s="173"/>
    </row>
    <row r="642" spans="1:15">
      <c r="A642" s="171"/>
      <c r="B642" s="136"/>
      <c r="N642" s="174"/>
      <c r="O642" s="173"/>
    </row>
    <row r="643" spans="1:15">
      <c r="A643" s="171"/>
      <c r="B643" s="136"/>
      <c r="N643" s="174"/>
      <c r="O643" s="173"/>
    </row>
    <row r="644" spans="1:15">
      <c r="A644" s="171"/>
      <c r="B644" s="136"/>
      <c r="N644" s="174"/>
      <c r="O644" s="173"/>
    </row>
    <row r="645" spans="1:15">
      <c r="A645" s="171"/>
      <c r="B645" s="136"/>
      <c r="N645" s="174"/>
      <c r="O645" s="173"/>
    </row>
    <row r="646" spans="1:15">
      <c r="A646" s="171"/>
      <c r="B646" s="136"/>
      <c r="N646" s="174"/>
      <c r="O646" s="173"/>
    </row>
    <row r="647" spans="1:15">
      <c r="A647" s="171"/>
      <c r="B647" s="136"/>
      <c r="N647" s="174"/>
      <c r="O647" s="173"/>
    </row>
    <row r="648" spans="1:15">
      <c r="A648" s="171"/>
      <c r="B648" s="136"/>
      <c r="N648" s="174"/>
      <c r="O648" s="173"/>
    </row>
    <row r="649" spans="1:15">
      <c r="A649" s="171"/>
      <c r="B649" s="136"/>
      <c r="N649" s="174"/>
      <c r="O649" s="173"/>
    </row>
    <row r="650" spans="1:15">
      <c r="A650" s="171"/>
      <c r="B650" s="136"/>
      <c r="N650" s="174"/>
      <c r="O650" s="173"/>
    </row>
    <row r="651" spans="1:15">
      <c r="A651" s="171"/>
      <c r="B651" s="136"/>
      <c r="N651" s="174"/>
      <c r="O651" s="173"/>
    </row>
    <row r="652" spans="1:15">
      <c r="A652" s="171"/>
      <c r="B652" s="136"/>
      <c r="N652" s="174"/>
      <c r="O652" s="173"/>
    </row>
    <row r="653" spans="1:15">
      <c r="A653" s="171"/>
      <c r="B653" s="136"/>
      <c r="N653" s="174"/>
      <c r="O653" s="173"/>
    </row>
    <row r="654" spans="1:15">
      <c r="A654" s="171"/>
      <c r="B654" s="136"/>
      <c r="N654" s="174"/>
      <c r="O654" s="173"/>
    </row>
    <row r="655" spans="1:15">
      <c r="A655" s="171"/>
      <c r="B655" s="136"/>
      <c r="N655" s="174"/>
      <c r="O655" s="173"/>
    </row>
    <row r="656" spans="1:15">
      <c r="A656" s="171"/>
      <c r="B656" s="136"/>
      <c r="N656" s="174"/>
      <c r="O656" s="173"/>
    </row>
    <row r="657" spans="1:15">
      <c r="A657" s="171"/>
      <c r="B657" s="136"/>
      <c r="N657" s="174"/>
      <c r="O657" s="173"/>
    </row>
    <row r="658" spans="1:15">
      <c r="A658" s="171"/>
      <c r="B658" s="136"/>
      <c r="N658" s="174"/>
      <c r="O658" s="173"/>
    </row>
    <row r="659" spans="1:15">
      <c r="A659" s="171"/>
      <c r="B659" s="136"/>
      <c r="N659" s="174"/>
      <c r="O659" s="173"/>
    </row>
    <row r="660" spans="1:15">
      <c r="A660" s="171"/>
      <c r="B660" s="136"/>
      <c r="N660" s="174"/>
      <c r="O660" s="173"/>
    </row>
    <row r="661" spans="1:15">
      <c r="A661" s="171"/>
      <c r="B661" s="136"/>
      <c r="N661" s="174"/>
      <c r="O661" s="173"/>
    </row>
    <row r="662" spans="1:15">
      <c r="A662" s="171"/>
      <c r="B662" s="136"/>
      <c r="N662" s="174"/>
      <c r="O662" s="173"/>
    </row>
    <row r="663" spans="1:15">
      <c r="A663" s="171"/>
      <c r="B663" s="136"/>
      <c r="N663" s="174"/>
      <c r="O663" s="173"/>
    </row>
    <row r="664" spans="1:15">
      <c r="A664" s="171"/>
      <c r="B664" s="136"/>
      <c r="N664" s="174"/>
      <c r="O664" s="173"/>
    </row>
    <row r="665" spans="1:15">
      <c r="A665" s="171"/>
      <c r="B665" s="136"/>
      <c r="N665" s="174"/>
      <c r="O665" s="173"/>
    </row>
    <row r="666" spans="1:15">
      <c r="A666" s="171"/>
      <c r="B666" s="136"/>
      <c r="N666" s="174"/>
      <c r="O666" s="173"/>
    </row>
    <row r="667" spans="1:15">
      <c r="A667" s="171"/>
      <c r="B667" s="136"/>
      <c r="N667" s="174"/>
      <c r="O667" s="173"/>
    </row>
    <row r="668" spans="1:15">
      <c r="A668" s="171"/>
      <c r="B668" s="136"/>
      <c r="N668" s="174"/>
      <c r="O668" s="173"/>
    </row>
    <row r="669" spans="1:15">
      <c r="A669" s="171"/>
      <c r="B669" s="136"/>
      <c r="N669" s="174"/>
      <c r="O669" s="173"/>
    </row>
    <row r="670" spans="1:15">
      <c r="A670" s="171"/>
      <c r="B670" s="136"/>
      <c r="N670" s="174"/>
      <c r="O670" s="173"/>
    </row>
    <row r="671" spans="1:15">
      <c r="A671" s="171"/>
      <c r="B671" s="136"/>
      <c r="N671" s="174"/>
      <c r="O671" s="173"/>
    </row>
    <row r="672" spans="1:15">
      <c r="A672" s="171"/>
      <c r="B672" s="136"/>
      <c r="N672" s="174"/>
      <c r="O672" s="173"/>
    </row>
    <row r="673" spans="1:15">
      <c r="A673" s="171"/>
      <c r="B673" s="136"/>
      <c r="N673" s="174"/>
      <c r="O673" s="173"/>
    </row>
    <row r="674" spans="1:15">
      <c r="A674" s="171"/>
      <c r="B674" s="136"/>
      <c r="N674" s="174"/>
      <c r="O674" s="173"/>
    </row>
    <row r="675" spans="1:15">
      <c r="A675" s="171"/>
      <c r="B675" s="136"/>
      <c r="N675" s="174"/>
      <c r="O675" s="173"/>
    </row>
    <row r="676" spans="1:15">
      <c r="A676" s="171"/>
      <c r="B676" s="136"/>
      <c r="N676" s="174"/>
      <c r="O676" s="173"/>
    </row>
    <row r="677" spans="1:15">
      <c r="A677" s="171"/>
      <c r="B677" s="136"/>
      <c r="N677" s="174"/>
      <c r="O677" s="173"/>
    </row>
    <row r="678" spans="1:15">
      <c r="A678" s="171"/>
      <c r="B678" s="136"/>
      <c r="N678" s="174"/>
      <c r="O678" s="173"/>
    </row>
    <row r="679" spans="1:15">
      <c r="A679" s="171"/>
      <c r="B679" s="136"/>
      <c r="N679" s="174"/>
      <c r="O679" s="173"/>
    </row>
    <row r="680" spans="1:15">
      <c r="A680" s="171"/>
      <c r="B680" s="136"/>
      <c r="N680" s="174"/>
      <c r="O680" s="173"/>
    </row>
    <row r="681" spans="1:15">
      <c r="A681" s="171"/>
      <c r="B681" s="136"/>
      <c r="N681" s="174"/>
      <c r="O681" s="173"/>
    </row>
    <row r="682" spans="1:15">
      <c r="A682" s="171"/>
      <c r="B682" s="136"/>
      <c r="N682" s="174"/>
      <c r="O682" s="173"/>
    </row>
    <row r="683" spans="1:15">
      <c r="A683" s="171"/>
      <c r="B683" s="136"/>
      <c r="N683" s="174"/>
      <c r="O683" s="173"/>
    </row>
    <row r="684" spans="1:15">
      <c r="A684" s="171"/>
      <c r="B684" s="136"/>
      <c r="N684" s="174"/>
      <c r="O684" s="173"/>
    </row>
    <row r="685" spans="1:15">
      <c r="A685" s="171"/>
      <c r="B685" s="136"/>
      <c r="N685" s="174"/>
      <c r="O685" s="173"/>
    </row>
    <row r="686" spans="1:15">
      <c r="A686" s="171"/>
      <c r="B686" s="136"/>
      <c r="N686" s="174"/>
      <c r="O686" s="173"/>
    </row>
    <row r="687" spans="1:15">
      <c r="A687" s="171"/>
      <c r="B687" s="136"/>
      <c r="N687" s="174"/>
      <c r="O687" s="173"/>
    </row>
    <row r="688" spans="1:15">
      <c r="A688" s="171"/>
      <c r="B688" s="136"/>
      <c r="N688" s="174"/>
      <c r="O688" s="173"/>
    </row>
    <row r="689" spans="1:15">
      <c r="A689" s="171"/>
      <c r="B689" s="136"/>
      <c r="N689" s="174"/>
      <c r="O689" s="173"/>
    </row>
    <row r="690" spans="1:15">
      <c r="A690" s="171"/>
      <c r="B690" s="136"/>
      <c r="N690" s="174"/>
      <c r="O690" s="173"/>
    </row>
    <row r="691" spans="1:15">
      <c r="A691" s="171"/>
      <c r="B691" s="136"/>
      <c r="N691" s="174"/>
      <c r="O691" s="173"/>
    </row>
    <row r="692" spans="1:15">
      <c r="A692" s="171"/>
      <c r="B692" s="136"/>
      <c r="N692" s="174"/>
      <c r="O692" s="173"/>
    </row>
    <row r="693" spans="1:15">
      <c r="A693" s="171"/>
      <c r="B693" s="136"/>
      <c r="N693" s="174"/>
      <c r="O693" s="173"/>
    </row>
    <row r="694" spans="1:15">
      <c r="A694" s="171"/>
      <c r="B694" s="136"/>
      <c r="N694" s="174"/>
      <c r="O694" s="173"/>
    </row>
    <row r="695" spans="1:15">
      <c r="A695" s="171"/>
      <c r="B695" s="136"/>
      <c r="N695" s="174"/>
      <c r="O695" s="173"/>
    </row>
    <row r="696" spans="1:15">
      <c r="A696" s="171"/>
      <c r="B696" s="136"/>
      <c r="N696" s="174"/>
      <c r="O696" s="173"/>
    </row>
    <row r="697" spans="1:15">
      <c r="A697" s="171"/>
      <c r="B697" s="136"/>
      <c r="N697" s="174"/>
      <c r="O697" s="173"/>
    </row>
    <row r="698" spans="1:15">
      <c r="A698" s="171"/>
      <c r="B698" s="136"/>
      <c r="N698" s="174"/>
      <c r="O698" s="173"/>
    </row>
    <row r="699" spans="1:15">
      <c r="A699" s="171"/>
      <c r="B699" s="136"/>
      <c r="N699" s="174"/>
      <c r="O699" s="173"/>
    </row>
    <row r="700" spans="1:15">
      <c r="A700" s="171"/>
      <c r="B700" s="136"/>
      <c r="N700" s="174"/>
      <c r="O700" s="173"/>
    </row>
    <row r="701" spans="1:15">
      <c r="A701" s="171"/>
      <c r="B701" s="136"/>
      <c r="N701" s="174"/>
      <c r="O701" s="173"/>
    </row>
    <row r="702" spans="1:15">
      <c r="A702" s="171"/>
      <c r="B702" s="136"/>
      <c r="N702" s="174"/>
      <c r="O702" s="173"/>
    </row>
    <row r="703" spans="1:15">
      <c r="A703" s="171"/>
      <c r="B703" s="136"/>
      <c r="N703" s="174"/>
      <c r="O703" s="173"/>
    </row>
    <row r="704" spans="1:15">
      <c r="A704" s="171"/>
      <c r="B704" s="136"/>
      <c r="N704" s="174"/>
      <c r="O704" s="173"/>
    </row>
    <row r="705" spans="1:15">
      <c r="A705" s="171"/>
      <c r="B705" s="136"/>
      <c r="N705" s="174"/>
      <c r="O705" s="173"/>
    </row>
    <row r="706" spans="1:15">
      <c r="A706" s="171"/>
      <c r="B706" s="136"/>
      <c r="N706" s="174"/>
      <c r="O706" s="173"/>
    </row>
    <row r="707" spans="1:15">
      <c r="A707" s="171"/>
      <c r="B707" s="136"/>
      <c r="N707" s="174"/>
      <c r="O707" s="173"/>
    </row>
    <row r="708" spans="1:15">
      <c r="A708" s="171"/>
      <c r="B708" s="136"/>
      <c r="N708" s="174"/>
      <c r="O708" s="173"/>
    </row>
    <row r="709" spans="1:15">
      <c r="A709" s="171"/>
      <c r="B709" s="136"/>
      <c r="N709" s="174"/>
      <c r="O709" s="173"/>
    </row>
    <row r="710" spans="1:15">
      <c r="A710" s="171"/>
      <c r="B710" s="136"/>
      <c r="N710" s="174"/>
      <c r="O710" s="173"/>
    </row>
    <row r="711" spans="1:15">
      <c r="A711" s="171"/>
      <c r="B711" s="136"/>
      <c r="N711" s="174"/>
      <c r="O711" s="173"/>
    </row>
    <row r="712" spans="1:15">
      <c r="A712" s="171"/>
      <c r="B712" s="136"/>
      <c r="N712" s="174"/>
      <c r="O712" s="173"/>
    </row>
    <row r="713" spans="1:15">
      <c r="A713" s="171"/>
      <c r="B713" s="136"/>
      <c r="N713" s="174"/>
      <c r="O713" s="173"/>
    </row>
    <row r="714" spans="1:15">
      <c r="A714" s="171"/>
      <c r="B714" s="136"/>
      <c r="N714" s="174"/>
      <c r="O714" s="173"/>
    </row>
    <row r="715" spans="1:15">
      <c r="A715" s="171"/>
      <c r="B715" s="136"/>
      <c r="N715" s="174"/>
      <c r="O715" s="173"/>
    </row>
    <row r="716" spans="1:15">
      <c r="A716" s="171"/>
      <c r="B716" s="136"/>
      <c r="N716" s="174"/>
      <c r="O716" s="173"/>
    </row>
    <row r="717" spans="1:15">
      <c r="A717" s="171"/>
      <c r="B717" s="136"/>
      <c r="N717" s="174"/>
      <c r="O717" s="173"/>
    </row>
    <row r="718" spans="1:15">
      <c r="A718" s="171"/>
      <c r="B718" s="136"/>
      <c r="N718" s="174"/>
      <c r="O718" s="173"/>
    </row>
    <row r="719" spans="1:15">
      <c r="A719" s="171"/>
      <c r="B719" s="136"/>
      <c r="N719" s="174"/>
      <c r="O719" s="173"/>
    </row>
    <row r="720" spans="1:15">
      <c r="A720" s="171"/>
      <c r="B720" s="136"/>
      <c r="N720" s="174"/>
      <c r="O720" s="173"/>
    </row>
    <row r="721" spans="1:15">
      <c r="A721" s="171"/>
      <c r="B721" s="136"/>
      <c r="N721" s="174"/>
      <c r="O721" s="173"/>
    </row>
    <row r="722" spans="1:15">
      <c r="A722" s="171"/>
      <c r="B722" s="136"/>
      <c r="N722" s="174"/>
      <c r="O722" s="173"/>
    </row>
    <row r="723" spans="1:15">
      <c r="A723" s="171"/>
      <c r="B723" s="136"/>
      <c r="N723" s="174"/>
      <c r="O723" s="173"/>
    </row>
    <row r="724" spans="1:15">
      <c r="A724" s="171"/>
      <c r="B724" s="136"/>
      <c r="N724" s="174"/>
      <c r="O724" s="173"/>
    </row>
    <row r="725" spans="1:15">
      <c r="A725" s="171"/>
      <c r="B725" s="136"/>
      <c r="N725" s="174"/>
      <c r="O725" s="173"/>
    </row>
    <row r="726" spans="1:15">
      <c r="A726" s="171"/>
      <c r="B726" s="136"/>
      <c r="N726" s="174"/>
      <c r="O726" s="173"/>
    </row>
    <row r="727" spans="1:15">
      <c r="A727" s="171"/>
      <c r="B727" s="136"/>
      <c r="N727" s="174"/>
      <c r="O727" s="173"/>
    </row>
    <row r="728" spans="1:15">
      <c r="A728" s="171"/>
      <c r="B728" s="136"/>
      <c r="N728" s="174"/>
      <c r="O728" s="173"/>
    </row>
    <row r="729" spans="1:15">
      <c r="A729" s="171"/>
      <c r="B729" s="136"/>
      <c r="N729" s="174"/>
      <c r="O729" s="173"/>
    </row>
    <row r="730" spans="1:15">
      <c r="A730" s="171"/>
      <c r="B730" s="136"/>
      <c r="N730" s="174"/>
      <c r="O730" s="173"/>
    </row>
    <row r="731" spans="1:15">
      <c r="A731" s="171"/>
      <c r="B731" s="136"/>
      <c r="N731" s="174"/>
      <c r="O731" s="173"/>
    </row>
    <row r="732" spans="1:15">
      <c r="A732" s="171"/>
      <c r="B732" s="136"/>
      <c r="N732" s="174"/>
      <c r="O732" s="173"/>
    </row>
    <row r="733" spans="1:15">
      <c r="A733" s="171"/>
      <c r="B733" s="136"/>
      <c r="N733" s="174"/>
      <c r="O733" s="173"/>
    </row>
    <row r="734" spans="1:15">
      <c r="A734" s="171"/>
      <c r="B734" s="136"/>
      <c r="N734" s="174"/>
      <c r="O734" s="173"/>
    </row>
    <row r="735" spans="1:15">
      <c r="A735" s="171"/>
      <c r="B735" s="136"/>
      <c r="N735" s="174"/>
      <c r="O735" s="173"/>
    </row>
    <row r="736" spans="1:15">
      <c r="A736" s="171"/>
      <c r="B736" s="136"/>
      <c r="N736" s="174"/>
      <c r="O736" s="173"/>
    </row>
    <row r="737" spans="1:15">
      <c r="A737" s="171"/>
      <c r="B737" s="136"/>
      <c r="N737" s="174"/>
      <c r="O737" s="173"/>
    </row>
    <row r="738" spans="1:15">
      <c r="A738" s="171"/>
      <c r="B738" s="136"/>
      <c r="N738" s="174"/>
      <c r="O738" s="173"/>
    </row>
    <row r="739" spans="1:15">
      <c r="A739" s="171"/>
      <c r="B739" s="136"/>
      <c r="N739" s="174"/>
      <c r="O739" s="173"/>
    </row>
    <row r="740" spans="1:15">
      <c r="A740" s="171"/>
      <c r="B740" s="136"/>
      <c r="N740" s="174"/>
      <c r="O740" s="173"/>
    </row>
    <row r="741" spans="1:15">
      <c r="A741" s="171"/>
      <c r="B741" s="136"/>
      <c r="N741" s="174"/>
      <c r="O741" s="173"/>
    </row>
    <row r="742" spans="1:15">
      <c r="A742" s="171"/>
      <c r="B742" s="136"/>
      <c r="N742" s="174"/>
      <c r="O742" s="173"/>
    </row>
    <row r="743" spans="1:15">
      <c r="A743" s="171"/>
      <c r="B743" s="136"/>
      <c r="N743" s="174"/>
      <c r="O743" s="173"/>
    </row>
    <row r="744" spans="1:15">
      <c r="A744" s="171"/>
      <c r="B744" s="136"/>
      <c r="N744" s="174"/>
      <c r="O744" s="173"/>
    </row>
    <row r="745" spans="1:15">
      <c r="A745" s="171"/>
      <c r="B745" s="136"/>
      <c r="N745" s="174"/>
      <c r="O745" s="173"/>
    </row>
    <row r="746" spans="1:15">
      <c r="A746" s="171"/>
      <c r="B746" s="136"/>
      <c r="N746" s="174"/>
      <c r="O746" s="173"/>
    </row>
    <row r="747" spans="1:15">
      <c r="A747" s="171"/>
      <c r="B747" s="136"/>
      <c r="N747" s="174"/>
      <c r="O747" s="173"/>
    </row>
    <row r="748" spans="1:15">
      <c r="A748" s="171"/>
      <c r="B748" s="136"/>
      <c r="N748" s="174"/>
      <c r="O748" s="173"/>
    </row>
    <row r="749" spans="1:15">
      <c r="A749" s="171"/>
      <c r="B749" s="136"/>
      <c r="N749" s="174"/>
      <c r="O749" s="173"/>
    </row>
    <row r="750" spans="1:15">
      <c r="A750" s="171"/>
      <c r="B750" s="136"/>
      <c r="N750" s="174"/>
      <c r="O750" s="173"/>
    </row>
    <row r="751" spans="1:15">
      <c r="A751" s="171"/>
      <c r="B751" s="136"/>
      <c r="N751" s="174"/>
      <c r="O751" s="173"/>
    </row>
    <row r="752" spans="1:15">
      <c r="A752" s="171"/>
      <c r="B752" s="136"/>
      <c r="N752" s="174"/>
      <c r="O752" s="173"/>
    </row>
    <row r="753" spans="1:15">
      <c r="A753" s="171"/>
      <c r="B753" s="136"/>
      <c r="N753" s="174"/>
      <c r="O753" s="173"/>
    </row>
    <row r="754" spans="1:15">
      <c r="A754" s="171"/>
      <c r="B754" s="136"/>
      <c r="N754" s="174"/>
      <c r="O754" s="173"/>
    </row>
    <row r="755" spans="1:15">
      <c r="A755" s="171"/>
      <c r="B755" s="136"/>
      <c r="N755" s="174"/>
      <c r="O755" s="173"/>
    </row>
    <row r="756" spans="1:15">
      <c r="A756" s="171"/>
      <c r="B756" s="136"/>
      <c r="N756" s="174"/>
      <c r="O756" s="173"/>
    </row>
    <row r="757" spans="1:15">
      <c r="A757" s="171"/>
      <c r="B757" s="136"/>
      <c r="N757" s="174"/>
      <c r="O757" s="173"/>
    </row>
    <row r="758" spans="1:15">
      <c r="A758" s="171"/>
      <c r="B758" s="136"/>
      <c r="N758" s="174"/>
      <c r="O758" s="173"/>
    </row>
    <row r="759" spans="1:15">
      <c r="A759" s="171"/>
      <c r="B759" s="136"/>
      <c r="N759" s="174"/>
      <c r="O759" s="173"/>
    </row>
    <row r="760" spans="1:15">
      <c r="A760" s="171"/>
      <c r="B760" s="136"/>
      <c r="N760" s="174"/>
      <c r="O760" s="173"/>
    </row>
    <row r="761" spans="1:15">
      <c r="A761" s="171"/>
      <c r="B761" s="136"/>
      <c r="N761" s="174"/>
      <c r="O761" s="173"/>
    </row>
    <row r="762" spans="1:15">
      <c r="A762" s="171"/>
      <c r="B762" s="136"/>
      <c r="N762" s="174"/>
      <c r="O762" s="173"/>
    </row>
    <row r="763" spans="1:15">
      <c r="A763" s="171"/>
      <c r="B763" s="136"/>
      <c r="N763" s="174"/>
      <c r="O763" s="173"/>
    </row>
    <row r="764" spans="1:15">
      <c r="A764" s="171"/>
      <c r="B764" s="136"/>
      <c r="N764" s="174"/>
      <c r="O764" s="173"/>
    </row>
    <row r="765" spans="1:15">
      <c r="A765" s="171"/>
      <c r="B765" s="136"/>
      <c r="N765" s="174"/>
      <c r="O765" s="173"/>
    </row>
    <row r="766" spans="1:15">
      <c r="A766" s="171"/>
      <c r="B766" s="136"/>
      <c r="N766" s="174"/>
      <c r="O766" s="173"/>
    </row>
    <row r="767" spans="1:15">
      <c r="A767" s="171"/>
      <c r="B767" s="136"/>
      <c r="N767" s="174"/>
      <c r="O767" s="173"/>
    </row>
    <row r="768" spans="1:15">
      <c r="A768" s="171"/>
      <c r="B768" s="136"/>
      <c r="N768" s="174"/>
      <c r="O768" s="173"/>
    </row>
    <row r="769" spans="1:15">
      <c r="A769" s="171"/>
      <c r="B769" s="136"/>
      <c r="N769" s="174"/>
      <c r="O769" s="173"/>
    </row>
    <row r="770" spans="1:15">
      <c r="A770" s="171"/>
      <c r="B770" s="136"/>
      <c r="N770" s="174"/>
      <c r="O770" s="173"/>
    </row>
    <row r="771" spans="1:15">
      <c r="A771" s="171"/>
      <c r="B771" s="136"/>
      <c r="N771" s="174"/>
      <c r="O771" s="173"/>
    </row>
    <row r="772" spans="1:15">
      <c r="A772" s="171"/>
      <c r="B772" s="136"/>
      <c r="N772" s="174"/>
      <c r="O772" s="173"/>
    </row>
    <row r="773" spans="1:15">
      <c r="A773" s="171"/>
      <c r="B773" s="136"/>
      <c r="N773" s="174"/>
      <c r="O773" s="173"/>
    </row>
    <row r="774" spans="1:15">
      <c r="A774" s="171"/>
      <c r="B774" s="136"/>
      <c r="N774" s="174"/>
      <c r="O774" s="173"/>
    </row>
    <row r="775" spans="1:15">
      <c r="A775" s="171"/>
      <c r="B775" s="136"/>
      <c r="N775" s="174"/>
      <c r="O775" s="173"/>
    </row>
    <row r="776" spans="1:15">
      <c r="A776" s="171"/>
      <c r="B776" s="136"/>
      <c r="N776" s="174"/>
      <c r="O776" s="173"/>
    </row>
    <row r="777" spans="1:15">
      <c r="A777" s="171"/>
      <c r="B777" s="136"/>
      <c r="N777" s="174"/>
      <c r="O777" s="173"/>
    </row>
    <row r="778" spans="1:15">
      <c r="A778" s="171"/>
      <c r="B778" s="136"/>
      <c r="N778" s="174"/>
      <c r="O778" s="173"/>
    </row>
    <row r="779" spans="1:15">
      <c r="A779" s="171"/>
      <c r="B779" s="136"/>
      <c r="N779" s="174"/>
      <c r="O779" s="173"/>
    </row>
    <row r="780" spans="1:15">
      <c r="A780" s="171"/>
      <c r="B780" s="136"/>
      <c r="N780" s="174"/>
      <c r="O780" s="173"/>
    </row>
    <row r="781" spans="1:15">
      <c r="A781" s="171"/>
      <c r="B781" s="136"/>
      <c r="N781" s="174"/>
      <c r="O781" s="173"/>
    </row>
    <row r="782" spans="1:15">
      <c r="A782" s="171"/>
      <c r="B782" s="136"/>
      <c r="N782" s="174"/>
      <c r="O782" s="173"/>
    </row>
    <row r="783" spans="1:15">
      <c r="A783" s="171"/>
      <c r="B783" s="136"/>
      <c r="N783" s="174"/>
      <c r="O783" s="173"/>
    </row>
    <row r="784" spans="1:15">
      <c r="A784" s="171"/>
      <c r="B784" s="136"/>
      <c r="N784" s="174"/>
      <c r="O784" s="173"/>
    </row>
    <row r="785" spans="1:15">
      <c r="A785" s="171"/>
      <c r="B785" s="136"/>
      <c r="N785" s="174"/>
      <c r="O785" s="173"/>
    </row>
    <row r="786" spans="1:15">
      <c r="A786" s="171"/>
      <c r="B786" s="136"/>
      <c r="N786" s="174"/>
      <c r="O786" s="173"/>
    </row>
    <row r="787" spans="1:15">
      <c r="A787" s="171"/>
      <c r="B787" s="136"/>
      <c r="N787" s="174"/>
      <c r="O787" s="173"/>
    </row>
    <row r="788" spans="1:15">
      <c r="A788" s="171"/>
      <c r="B788" s="136"/>
      <c r="N788" s="174"/>
      <c r="O788" s="173"/>
    </row>
    <row r="789" spans="1:15">
      <c r="A789" s="171"/>
      <c r="B789" s="136"/>
      <c r="N789" s="174"/>
      <c r="O789" s="173"/>
    </row>
    <row r="790" spans="1:15">
      <c r="A790" s="171"/>
      <c r="B790" s="136"/>
      <c r="N790" s="174"/>
      <c r="O790" s="173"/>
    </row>
    <row r="791" spans="1:15">
      <c r="A791" s="171"/>
      <c r="B791" s="136"/>
      <c r="N791" s="174"/>
      <c r="O791" s="173"/>
    </row>
    <row r="792" spans="1:15">
      <c r="A792" s="171"/>
      <c r="B792" s="136"/>
      <c r="N792" s="174"/>
      <c r="O792" s="173"/>
    </row>
    <row r="793" spans="1:15">
      <c r="A793" s="171"/>
      <c r="B793" s="136"/>
      <c r="N793" s="174"/>
      <c r="O793" s="173"/>
    </row>
    <row r="794" spans="1:15">
      <c r="A794" s="171"/>
      <c r="B794" s="136"/>
      <c r="N794" s="174"/>
      <c r="O794" s="173"/>
    </row>
    <row r="795" spans="1:15">
      <c r="A795" s="171"/>
      <c r="B795" s="136"/>
      <c r="N795" s="174"/>
      <c r="O795" s="173"/>
    </row>
    <row r="796" spans="1:15">
      <c r="A796" s="171"/>
      <c r="B796" s="136"/>
      <c r="N796" s="174"/>
      <c r="O796" s="173"/>
    </row>
    <row r="797" spans="1:15">
      <c r="A797" s="171"/>
      <c r="B797" s="136"/>
      <c r="N797" s="174"/>
      <c r="O797" s="173"/>
    </row>
    <row r="798" spans="1:15">
      <c r="A798" s="171"/>
      <c r="B798" s="136"/>
      <c r="N798" s="174"/>
      <c r="O798" s="173"/>
    </row>
    <row r="799" spans="1:15">
      <c r="A799" s="171"/>
      <c r="B799" s="136"/>
      <c r="N799" s="174"/>
      <c r="O799" s="173"/>
    </row>
    <row r="800" spans="1:15">
      <c r="A800" s="171"/>
      <c r="B800" s="136"/>
      <c r="N800" s="174"/>
      <c r="O800" s="173"/>
    </row>
    <row r="801" spans="1:15">
      <c r="A801" s="171"/>
      <c r="B801" s="136"/>
      <c r="N801" s="174"/>
      <c r="O801" s="173"/>
    </row>
    <row r="802" spans="1:15">
      <c r="A802" s="171"/>
      <c r="B802" s="136"/>
      <c r="N802" s="174"/>
      <c r="O802" s="173"/>
    </row>
    <row r="803" spans="1:15">
      <c r="A803" s="171"/>
      <c r="B803" s="136"/>
      <c r="N803" s="174"/>
      <c r="O803" s="173"/>
    </row>
    <row r="804" spans="1:15">
      <c r="A804" s="171"/>
      <c r="B804" s="136"/>
      <c r="N804" s="174"/>
      <c r="O804" s="173"/>
    </row>
    <row r="805" spans="1:15">
      <c r="A805" s="171"/>
      <c r="B805" s="136"/>
      <c r="N805" s="174"/>
      <c r="O805" s="173"/>
    </row>
    <row r="806" spans="1:15">
      <c r="A806" s="171"/>
      <c r="B806" s="136"/>
      <c r="N806" s="174"/>
      <c r="O806" s="173"/>
    </row>
    <row r="807" spans="1:15">
      <c r="A807" s="171"/>
      <c r="B807" s="136"/>
      <c r="N807" s="174"/>
      <c r="O807" s="173"/>
    </row>
    <row r="808" spans="1:15">
      <c r="A808" s="171"/>
      <c r="B808" s="136"/>
      <c r="N808" s="174"/>
      <c r="O808" s="173"/>
    </row>
    <row r="809" spans="1:15">
      <c r="A809" s="171"/>
      <c r="B809" s="136"/>
      <c r="N809" s="174"/>
      <c r="O809" s="173"/>
    </row>
    <row r="810" spans="1:15">
      <c r="A810" s="171"/>
      <c r="B810" s="136"/>
      <c r="N810" s="174"/>
      <c r="O810" s="173"/>
    </row>
    <row r="811" spans="1:15">
      <c r="A811" s="171"/>
      <c r="B811" s="136"/>
      <c r="N811" s="174"/>
      <c r="O811" s="173"/>
    </row>
    <row r="812" spans="1:15">
      <c r="A812" s="171"/>
      <c r="B812" s="136"/>
      <c r="N812" s="174"/>
      <c r="O812" s="173"/>
    </row>
    <row r="813" spans="1:15">
      <c r="A813" s="171"/>
      <c r="B813" s="136"/>
      <c r="N813" s="174"/>
      <c r="O813" s="173"/>
    </row>
    <row r="814" spans="1:15">
      <c r="A814" s="171"/>
      <c r="B814" s="136"/>
      <c r="N814" s="174"/>
      <c r="O814" s="173"/>
    </row>
    <row r="815" spans="1:15">
      <c r="A815" s="171"/>
      <c r="B815" s="136"/>
      <c r="N815" s="174"/>
      <c r="O815" s="173"/>
    </row>
    <row r="816" spans="1:15">
      <c r="A816" s="171"/>
      <c r="B816" s="136"/>
      <c r="N816" s="174"/>
      <c r="O816" s="173"/>
    </row>
    <row r="817" spans="1:15">
      <c r="A817" s="171"/>
      <c r="B817" s="136"/>
      <c r="N817" s="174"/>
      <c r="O817" s="173"/>
    </row>
    <row r="818" spans="1:15">
      <c r="A818" s="171"/>
      <c r="B818" s="136"/>
      <c r="N818" s="174"/>
      <c r="O818" s="173"/>
    </row>
    <row r="819" spans="1:15">
      <c r="A819" s="171"/>
      <c r="B819" s="136"/>
      <c r="N819" s="174"/>
      <c r="O819" s="173"/>
    </row>
    <row r="820" spans="1:15">
      <c r="A820" s="171"/>
      <c r="B820" s="136"/>
      <c r="N820" s="174"/>
      <c r="O820" s="173"/>
    </row>
    <row r="821" spans="1:15">
      <c r="A821" s="171"/>
      <c r="B821" s="136"/>
      <c r="N821" s="174"/>
      <c r="O821" s="173"/>
    </row>
    <row r="822" spans="1:15">
      <c r="A822" s="171"/>
      <c r="B822" s="136"/>
      <c r="N822" s="174"/>
      <c r="O822" s="173"/>
    </row>
    <row r="823" spans="1:15">
      <c r="A823" s="171"/>
      <c r="B823" s="136"/>
      <c r="N823" s="174"/>
      <c r="O823" s="173"/>
    </row>
    <row r="824" spans="1:15">
      <c r="A824" s="171"/>
      <c r="B824" s="136"/>
      <c r="N824" s="174"/>
      <c r="O824" s="173"/>
    </row>
    <row r="825" spans="1:15">
      <c r="A825" s="171"/>
      <c r="B825" s="136"/>
      <c r="N825" s="174"/>
      <c r="O825" s="173"/>
    </row>
    <row r="826" spans="1:15">
      <c r="A826" s="171"/>
      <c r="B826" s="136"/>
      <c r="N826" s="174"/>
      <c r="O826" s="173"/>
    </row>
    <row r="827" spans="1:15">
      <c r="A827" s="171"/>
      <c r="B827" s="136"/>
      <c r="N827" s="174"/>
      <c r="O827" s="173"/>
    </row>
    <row r="828" spans="1:15">
      <c r="A828" s="171"/>
      <c r="B828" s="136"/>
      <c r="N828" s="174"/>
      <c r="O828" s="173"/>
    </row>
    <row r="829" spans="1:15">
      <c r="A829" s="171"/>
      <c r="B829" s="136"/>
      <c r="N829" s="174"/>
      <c r="O829" s="173"/>
    </row>
    <row r="830" spans="1:15">
      <c r="A830" s="171"/>
      <c r="B830" s="136"/>
      <c r="N830" s="174"/>
      <c r="O830" s="173"/>
    </row>
    <row r="831" spans="1:15">
      <c r="A831" s="171"/>
      <c r="B831" s="136"/>
      <c r="N831" s="174"/>
      <c r="O831" s="173"/>
    </row>
    <row r="832" spans="1:15">
      <c r="A832" s="171"/>
      <c r="B832" s="136"/>
      <c r="N832" s="174"/>
      <c r="O832" s="173"/>
    </row>
    <row r="833" spans="1:15">
      <c r="A833" s="171"/>
      <c r="B833" s="136"/>
      <c r="N833" s="174"/>
      <c r="O833" s="173"/>
    </row>
    <row r="834" spans="1:15">
      <c r="A834" s="171"/>
      <c r="B834" s="136"/>
      <c r="N834" s="174"/>
      <c r="O834" s="173"/>
    </row>
    <row r="835" spans="1:15">
      <c r="A835" s="171"/>
      <c r="B835" s="136"/>
      <c r="N835" s="174"/>
      <c r="O835" s="173"/>
    </row>
    <row r="836" spans="1:15">
      <c r="A836" s="171"/>
      <c r="B836" s="136"/>
      <c r="N836" s="174"/>
      <c r="O836" s="173"/>
    </row>
    <row r="837" spans="1:15">
      <c r="A837" s="171"/>
      <c r="B837" s="136"/>
      <c r="N837" s="174"/>
      <c r="O837" s="173"/>
    </row>
    <row r="838" spans="1:15">
      <c r="A838" s="171"/>
      <c r="B838" s="136"/>
      <c r="N838" s="174"/>
      <c r="O838" s="173"/>
    </row>
    <row r="839" spans="1:15">
      <c r="A839" s="171"/>
      <c r="B839" s="136"/>
      <c r="N839" s="174"/>
      <c r="O839" s="173"/>
    </row>
    <row r="840" spans="1:15">
      <c r="A840" s="171"/>
      <c r="B840" s="136"/>
      <c r="N840" s="174"/>
      <c r="O840" s="173"/>
    </row>
    <row r="841" spans="1:15">
      <c r="A841" s="171"/>
      <c r="B841" s="136"/>
      <c r="N841" s="174"/>
      <c r="O841" s="173"/>
    </row>
    <row r="842" spans="1:15">
      <c r="A842" s="171"/>
      <c r="B842" s="136"/>
      <c r="N842" s="174"/>
      <c r="O842" s="173"/>
    </row>
    <row r="843" spans="1:15">
      <c r="A843" s="171"/>
      <c r="B843" s="136"/>
      <c r="N843" s="174"/>
      <c r="O843" s="173"/>
    </row>
    <row r="844" spans="1:15">
      <c r="A844" s="171"/>
      <c r="B844" s="136"/>
      <c r="N844" s="174"/>
      <c r="O844" s="173"/>
    </row>
    <row r="845" spans="1:15">
      <c r="A845" s="171"/>
      <c r="B845" s="136"/>
      <c r="N845" s="174"/>
      <c r="O845" s="173"/>
    </row>
    <row r="846" spans="1:15">
      <c r="A846" s="171"/>
      <c r="B846" s="136"/>
      <c r="N846" s="174"/>
      <c r="O846" s="173"/>
    </row>
    <row r="847" spans="1:15">
      <c r="A847" s="171"/>
      <c r="B847" s="136"/>
      <c r="N847" s="174"/>
      <c r="O847" s="173"/>
    </row>
    <row r="848" spans="1:15">
      <c r="A848" s="171"/>
      <c r="B848" s="136"/>
      <c r="N848" s="174"/>
      <c r="O848" s="173"/>
    </row>
    <row r="849" spans="1:15">
      <c r="A849" s="171"/>
      <c r="B849" s="136"/>
      <c r="N849" s="174"/>
      <c r="O849" s="173"/>
    </row>
    <row r="850" spans="1:15">
      <c r="A850" s="171"/>
      <c r="B850" s="136"/>
      <c r="N850" s="174"/>
      <c r="O850" s="173"/>
    </row>
    <row r="851" spans="1:15">
      <c r="A851" s="171"/>
      <c r="B851" s="136"/>
      <c r="N851" s="174"/>
      <c r="O851" s="173"/>
    </row>
    <row r="852" spans="1:15">
      <c r="A852" s="171"/>
      <c r="B852" s="136"/>
      <c r="N852" s="174"/>
      <c r="O852" s="173"/>
    </row>
    <row r="853" spans="1:15">
      <c r="A853" s="171"/>
      <c r="B853" s="136"/>
      <c r="N853" s="174"/>
      <c r="O853" s="173"/>
    </row>
    <row r="854" spans="1:15">
      <c r="A854" s="171"/>
      <c r="B854" s="136"/>
      <c r="N854" s="174"/>
      <c r="O854" s="173"/>
    </row>
    <row r="855" spans="1:15">
      <c r="A855" s="171"/>
      <c r="B855" s="136"/>
      <c r="N855" s="174"/>
      <c r="O855" s="173"/>
    </row>
    <row r="856" spans="1:15">
      <c r="A856" s="171"/>
      <c r="B856" s="136"/>
      <c r="N856" s="174"/>
      <c r="O856" s="173"/>
    </row>
    <row r="857" spans="1:15">
      <c r="A857" s="171"/>
      <c r="B857" s="136"/>
      <c r="N857" s="174"/>
      <c r="O857" s="173"/>
    </row>
    <row r="858" spans="1:15">
      <c r="A858" s="171"/>
      <c r="B858" s="136"/>
      <c r="N858" s="174"/>
      <c r="O858" s="173"/>
    </row>
    <row r="859" spans="1:15">
      <c r="A859" s="171"/>
      <c r="B859" s="136"/>
      <c r="N859" s="174"/>
      <c r="O859" s="173"/>
    </row>
    <row r="860" spans="1:15">
      <c r="A860" s="171"/>
      <c r="B860" s="136"/>
      <c r="N860" s="174"/>
      <c r="O860" s="173"/>
    </row>
    <row r="861" spans="1:15">
      <c r="A861" s="171"/>
      <c r="B861" s="136"/>
      <c r="N861" s="174"/>
      <c r="O861" s="173"/>
    </row>
    <row r="862" spans="1:15">
      <c r="A862" s="171"/>
      <c r="B862" s="136"/>
      <c r="N862" s="174"/>
      <c r="O862" s="173"/>
    </row>
    <row r="863" spans="1:15">
      <c r="A863" s="171"/>
      <c r="B863" s="136"/>
      <c r="N863" s="174"/>
      <c r="O863" s="173"/>
    </row>
    <row r="864" spans="1:15">
      <c r="A864" s="171"/>
      <c r="B864" s="136"/>
      <c r="N864" s="174"/>
      <c r="O864" s="173"/>
    </row>
    <row r="865" spans="1:15">
      <c r="A865" s="171"/>
      <c r="B865" s="136"/>
      <c r="N865" s="174"/>
      <c r="O865" s="173"/>
    </row>
    <row r="866" spans="1:15">
      <c r="A866" s="171"/>
      <c r="B866" s="136"/>
      <c r="N866" s="174"/>
      <c r="O866" s="173"/>
    </row>
    <row r="867" spans="1:15">
      <c r="A867" s="171"/>
      <c r="B867" s="136"/>
      <c r="N867" s="174"/>
      <c r="O867" s="173"/>
    </row>
    <row r="868" spans="1:15">
      <c r="A868" s="171"/>
      <c r="B868" s="136"/>
      <c r="N868" s="174"/>
      <c r="O868" s="173"/>
    </row>
    <row r="869" spans="1:15">
      <c r="A869" s="171"/>
      <c r="B869" s="136"/>
      <c r="N869" s="174"/>
      <c r="O869" s="173"/>
    </row>
    <row r="870" spans="1:15">
      <c r="A870" s="171"/>
      <c r="B870" s="136"/>
      <c r="N870" s="174"/>
      <c r="O870" s="173"/>
    </row>
    <row r="871" spans="1:15">
      <c r="A871" s="171"/>
      <c r="B871" s="136"/>
      <c r="N871" s="174"/>
      <c r="O871" s="173"/>
    </row>
    <row r="872" spans="1:15">
      <c r="A872" s="171"/>
      <c r="B872" s="136"/>
      <c r="N872" s="174"/>
      <c r="O872" s="173"/>
    </row>
    <row r="873" spans="1:15">
      <c r="A873" s="171"/>
      <c r="B873" s="136"/>
      <c r="N873" s="174"/>
      <c r="O873" s="173"/>
    </row>
    <row r="874" spans="1:15">
      <c r="A874" s="171"/>
      <c r="B874" s="136"/>
      <c r="N874" s="174"/>
      <c r="O874" s="173"/>
    </row>
    <row r="875" spans="1:15">
      <c r="A875" s="171"/>
      <c r="B875" s="136"/>
      <c r="N875" s="174"/>
      <c r="O875" s="173"/>
    </row>
    <row r="876" spans="1:15">
      <c r="A876" s="171"/>
      <c r="B876" s="136"/>
      <c r="N876" s="174"/>
      <c r="O876" s="173"/>
    </row>
    <row r="877" spans="1:15">
      <c r="A877" s="171"/>
      <c r="B877" s="136"/>
      <c r="N877" s="174"/>
      <c r="O877" s="173"/>
    </row>
    <row r="878" spans="1:15">
      <c r="A878" s="171"/>
      <c r="B878" s="136"/>
      <c r="N878" s="174"/>
      <c r="O878" s="173"/>
    </row>
    <row r="879" spans="1:15">
      <c r="A879" s="171"/>
      <c r="B879" s="136"/>
      <c r="N879" s="174"/>
      <c r="O879" s="173"/>
    </row>
    <row r="880" spans="1:15">
      <c r="A880" s="171"/>
      <c r="B880" s="136"/>
      <c r="N880" s="174"/>
      <c r="O880" s="173"/>
    </row>
    <row r="881" spans="1:15">
      <c r="A881" s="171"/>
      <c r="B881" s="136"/>
      <c r="N881" s="174"/>
      <c r="O881" s="173"/>
    </row>
    <row r="882" spans="1:15">
      <c r="A882" s="171"/>
      <c r="B882" s="136"/>
      <c r="N882" s="174"/>
      <c r="O882" s="173"/>
    </row>
    <row r="883" spans="1:15">
      <c r="A883" s="171"/>
      <c r="B883" s="136"/>
      <c r="N883" s="174"/>
      <c r="O883" s="173"/>
    </row>
    <row r="884" spans="1:15">
      <c r="A884" s="171"/>
      <c r="B884" s="136"/>
      <c r="N884" s="174"/>
      <c r="O884" s="173"/>
    </row>
    <row r="885" spans="1:15">
      <c r="A885" s="171"/>
      <c r="B885" s="136"/>
      <c r="N885" s="174"/>
      <c r="O885" s="173"/>
    </row>
    <row r="886" spans="1:15">
      <c r="A886" s="171"/>
      <c r="B886" s="136"/>
      <c r="N886" s="174"/>
      <c r="O886" s="173"/>
    </row>
    <row r="887" spans="1:15">
      <c r="A887" s="171"/>
      <c r="B887" s="136"/>
      <c r="N887" s="174"/>
      <c r="O887" s="173"/>
    </row>
    <row r="888" spans="1:15">
      <c r="A888" s="171"/>
      <c r="B888" s="136"/>
      <c r="N888" s="174"/>
      <c r="O888" s="173"/>
    </row>
    <row r="889" spans="1:15">
      <c r="A889" s="171"/>
      <c r="B889" s="136"/>
      <c r="N889" s="174"/>
      <c r="O889" s="173"/>
    </row>
    <row r="890" spans="1:15">
      <c r="A890" s="171"/>
      <c r="B890" s="136"/>
      <c r="N890" s="174"/>
      <c r="O890" s="173"/>
    </row>
    <row r="891" spans="1:15">
      <c r="A891" s="171"/>
      <c r="B891" s="136"/>
      <c r="N891" s="174"/>
      <c r="O891" s="173"/>
    </row>
    <row r="892" spans="1:15">
      <c r="A892" s="171"/>
      <c r="B892" s="136"/>
      <c r="N892" s="174"/>
      <c r="O892" s="173"/>
    </row>
    <row r="893" spans="1:15">
      <c r="A893" s="171"/>
      <c r="B893" s="136"/>
      <c r="N893" s="174"/>
      <c r="O893" s="173"/>
    </row>
    <row r="894" spans="1:15">
      <c r="A894" s="171"/>
      <c r="B894" s="136"/>
      <c r="N894" s="174"/>
      <c r="O894" s="173"/>
    </row>
    <row r="895" spans="1:15">
      <c r="A895" s="171"/>
      <c r="B895" s="136"/>
      <c r="N895" s="174"/>
      <c r="O895" s="173"/>
    </row>
    <row r="896" spans="1:15">
      <c r="A896" s="171"/>
      <c r="B896" s="136"/>
      <c r="N896" s="174"/>
      <c r="O896" s="173"/>
    </row>
    <row r="897" spans="1:15">
      <c r="A897" s="171"/>
      <c r="B897" s="136"/>
      <c r="N897" s="174"/>
      <c r="O897" s="173"/>
    </row>
    <row r="898" spans="1:15">
      <c r="A898" s="171"/>
      <c r="B898" s="136"/>
      <c r="N898" s="174"/>
      <c r="O898" s="173"/>
    </row>
    <row r="899" spans="1:15">
      <c r="A899" s="171"/>
      <c r="B899" s="136"/>
      <c r="N899" s="174"/>
      <c r="O899" s="173"/>
    </row>
    <row r="900" spans="1:15">
      <c r="A900" s="171"/>
      <c r="B900" s="136"/>
      <c r="N900" s="174"/>
      <c r="O900" s="173"/>
    </row>
    <row r="901" spans="1:15">
      <c r="A901" s="171"/>
      <c r="B901" s="136"/>
      <c r="N901" s="174"/>
      <c r="O901" s="173"/>
    </row>
    <row r="902" spans="1:15">
      <c r="A902" s="171"/>
      <c r="B902" s="136"/>
      <c r="N902" s="174"/>
      <c r="O902" s="173"/>
    </row>
    <row r="903" spans="1:15">
      <c r="A903" s="171"/>
      <c r="B903" s="136"/>
      <c r="N903" s="174"/>
      <c r="O903" s="173"/>
    </row>
    <row r="904" spans="1:15">
      <c r="A904" s="171"/>
      <c r="B904" s="136"/>
      <c r="N904" s="174"/>
      <c r="O904" s="173"/>
    </row>
    <row r="905" spans="1:15">
      <c r="A905" s="171"/>
      <c r="B905" s="136"/>
      <c r="N905" s="174"/>
      <c r="O905" s="173"/>
    </row>
    <row r="906" spans="1:15">
      <c r="A906" s="171"/>
      <c r="B906" s="136"/>
      <c r="N906" s="174"/>
      <c r="O906" s="173"/>
    </row>
    <row r="907" spans="1:15">
      <c r="A907" s="171"/>
      <c r="B907" s="136"/>
      <c r="N907" s="174"/>
      <c r="O907" s="173"/>
    </row>
    <row r="908" spans="1:15">
      <c r="A908" s="171"/>
      <c r="B908" s="136"/>
      <c r="N908" s="174"/>
      <c r="O908" s="173"/>
    </row>
    <row r="909" spans="1:15">
      <c r="A909" s="171"/>
      <c r="B909" s="136"/>
      <c r="N909" s="174"/>
      <c r="O909" s="173"/>
    </row>
    <row r="910" spans="1:15">
      <c r="A910" s="171"/>
      <c r="B910" s="136"/>
      <c r="N910" s="174"/>
      <c r="O910" s="173"/>
    </row>
    <row r="911" spans="1:15">
      <c r="A911" s="171"/>
      <c r="B911" s="136"/>
      <c r="N911" s="174"/>
      <c r="O911" s="173"/>
    </row>
    <row r="912" spans="1:15">
      <c r="A912" s="171"/>
      <c r="B912" s="136"/>
      <c r="N912" s="174"/>
      <c r="O912" s="173"/>
    </row>
    <row r="913" spans="1:15">
      <c r="A913" s="171"/>
      <c r="B913" s="136"/>
      <c r="N913" s="174"/>
      <c r="O913" s="173"/>
    </row>
    <row r="914" spans="1:15">
      <c r="A914" s="171"/>
      <c r="B914" s="136"/>
      <c r="N914" s="174"/>
      <c r="O914" s="173"/>
    </row>
    <row r="915" spans="1:15">
      <c r="A915" s="171"/>
      <c r="B915" s="136"/>
      <c r="N915" s="174"/>
      <c r="O915" s="173"/>
    </row>
    <row r="916" spans="1:15">
      <c r="A916" s="171"/>
      <c r="B916" s="136"/>
      <c r="N916" s="174"/>
      <c r="O916" s="173"/>
    </row>
    <row r="917" spans="1:15">
      <c r="A917" s="171"/>
      <c r="B917" s="136"/>
      <c r="N917" s="174"/>
      <c r="O917" s="173"/>
    </row>
    <row r="918" spans="1:15">
      <c r="A918" s="171"/>
      <c r="B918" s="136"/>
      <c r="N918" s="174"/>
      <c r="O918" s="173"/>
    </row>
    <row r="919" spans="1:15">
      <c r="A919" s="171"/>
      <c r="B919" s="136"/>
      <c r="N919" s="174"/>
      <c r="O919" s="173"/>
    </row>
    <row r="920" spans="1:15">
      <c r="A920" s="171"/>
      <c r="B920" s="136"/>
      <c r="N920" s="174"/>
      <c r="O920" s="173"/>
    </row>
    <row r="921" spans="1:15">
      <c r="A921" s="171"/>
      <c r="B921" s="136"/>
      <c r="N921" s="174"/>
      <c r="O921" s="173"/>
    </row>
    <row r="922" spans="1:15">
      <c r="A922" s="171"/>
      <c r="B922" s="136"/>
      <c r="N922" s="174"/>
      <c r="O922" s="173"/>
    </row>
    <row r="923" spans="1:15">
      <c r="A923" s="171"/>
      <c r="B923" s="136"/>
      <c r="N923" s="174"/>
      <c r="O923" s="173"/>
    </row>
    <row r="924" spans="1:15">
      <c r="A924" s="171"/>
      <c r="B924" s="136"/>
      <c r="N924" s="174"/>
      <c r="O924" s="173"/>
    </row>
    <row r="925" spans="1:15">
      <c r="A925" s="171"/>
      <c r="B925" s="136"/>
      <c r="N925" s="174"/>
      <c r="O925" s="173"/>
    </row>
    <row r="926" spans="1:15">
      <c r="A926" s="171"/>
      <c r="B926" s="136"/>
      <c r="N926" s="174"/>
      <c r="O926" s="173"/>
    </row>
    <row r="927" spans="1:15">
      <c r="A927" s="171"/>
      <c r="B927" s="136"/>
      <c r="N927" s="174"/>
      <c r="O927" s="173"/>
    </row>
    <row r="928" spans="1:15">
      <c r="A928" s="171"/>
      <c r="B928" s="136"/>
      <c r="N928" s="174"/>
      <c r="O928" s="173"/>
    </row>
    <row r="929" spans="1:15">
      <c r="A929" s="171"/>
      <c r="B929" s="136"/>
      <c r="N929" s="174"/>
      <c r="O929" s="173"/>
    </row>
    <row r="930" spans="1:15">
      <c r="A930" s="171"/>
      <c r="B930" s="136"/>
      <c r="N930" s="174"/>
      <c r="O930" s="173"/>
    </row>
    <row r="931" spans="1:15">
      <c r="A931" s="171"/>
      <c r="B931" s="136"/>
      <c r="N931" s="174"/>
      <c r="O931" s="173"/>
    </row>
    <row r="932" spans="1:15">
      <c r="A932" s="171"/>
      <c r="B932" s="136"/>
      <c r="N932" s="174"/>
      <c r="O932" s="173"/>
    </row>
    <row r="933" spans="1:15">
      <c r="A933" s="171"/>
      <c r="B933" s="136"/>
      <c r="N933" s="174"/>
      <c r="O933" s="173"/>
    </row>
    <row r="934" spans="1:15">
      <c r="A934" s="171"/>
      <c r="B934" s="136"/>
      <c r="N934" s="174"/>
      <c r="O934" s="173"/>
    </row>
    <row r="935" spans="1:15">
      <c r="A935" s="171"/>
      <c r="B935" s="136"/>
      <c r="N935" s="174"/>
      <c r="O935" s="173"/>
    </row>
    <row r="936" spans="1:15">
      <c r="A936" s="171"/>
      <c r="B936" s="136"/>
      <c r="N936" s="174"/>
      <c r="O936" s="173"/>
    </row>
    <row r="937" spans="1:15">
      <c r="A937" s="171"/>
      <c r="B937" s="136"/>
      <c r="N937" s="174"/>
      <c r="O937" s="173"/>
    </row>
    <row r="938" spans="1:15">
      <c r="A938" s="171"/>
      <c r="B938" s="136"/>
      <c r="N938" s="174"/>
      <c r="O938" s="173"/>
    </row>
    <row r="939" spans="1:15">
      <c r="A939" s="171"/>
      <c r="B939" s="136"/>
      <c r="N939" s="174"/>
      <c r="O939" s="173"/>
    </row>
    <row r="940" spans="1:15">
      <c r="A940" s="171"/>
      <c r="B940" s="136"/>
      <c r="N940" s="174"/>
      <c r="O940" s="173"/>
    </row>
    <row r="941" spans="1:15">
      <c r="A941" s="171"/>
      <c r="B941" s="136"/>
      <c r="N941" s="174"/>
      <c r="O941" s="173"/>
    </row>
    <row r="942" spans="1:15">
      <c r="A942" s="171"/>
      <c r="B942" s="136"/>
      <c r="N942" s="174"/>
      <c r="O942" s="173"/>
    </row>
    <row r="943" spans="1:15">
      <c r="A943" s="171"/>
      <c r="B943" s="136"/>
      <c r="N943" s="174"/>
      <c r="O943" s="173"/>
    </row>
    <row r="944" spans="1:15">
      <c r="A944" s="171"/>
      <c r="B944" s="136"/>
      <c r="N944" s="174"/>
      <c r="O944" s="173"/>
    </row>
    <row r="945" spans="1:15">
      <c r="A945" s="171"/>
      <c r="B945" s="136"/>
      <c r="N945" s="174"/>
      <c r="O945" s="173"/>
    </row>
    <row r="946" spans="1:15">
      <c r="A946" s="171"/>
      <c r="B946" s="136"/>
      <c r="N946" s="174"/>
      <c r="O946" s="173"/>
    </row>
    <row r="947" spans="1:15">
      <c r="A947" s="171"/>
      <c r="B947" s="136"/>
      <c r="N947" s="174"/>
      <c r="O947" s="173"/>
    </row>
    <row r="948" spans="1:15">
      <c r="A948" s="171"/>
      <c r="B948" s="136"/>
      <c r="N948" s="174"/>
      <c r="O948" s="173"/>
    </row>
    <row r="949" spans="1:15">
      <c r="A949" s="171"/>
      <c r="B949" s="136"/>
      <c r="N949" s="174"/>
      <c r="O949" s="173"/>
    </row>
    <row r="950" spans="1:15">
      <c r="A950" s="171"/>
      <c r="B950" s="136"/>
      <c r="N950" s="174"/>
      <c r="O950" s="173"/>
    </row>
    <row r="951" spans="1:15">
      <c r="A951" s="171"/>
      <c r="B951" s="136"/>
      <c r="N951" s="174"/>
      <c r="O951" s="173"/>
    </row>
    <row r="952" spans="1:15">
      <c r="A952" s="171"/>
      <c r="B952" s="136"/>
      <c r="N952" s="174"/>
      <c r="O952" s="173"/>
    </row>
    <row r="953" spans="1:15">
      <c r="A953" s="171"/>
      <c r="B953" s="136"/>
      <c r="N953" s="174"/>
      <c r="O953" s="173"/>
    </row>
    <row r="954" spans="1:15">
      <c r="A954" s="171"/>
      <c r="B954" s="136"/>
      <c r="N954" s="174"/>
      <c r="O954" s="173"/>
    </row>
    <row r="955" spans="1:15">
      <c r="A955" s="171"/>
      <c r="B955" s="136"/>
      <c r="N955" s="174"/>
      <c r="O955" s="173"/>
    </row>
    <row r="956" spans="1:15">
      <c r="A956" s="171"/>
      <c r="B956" s="136"/>
      <c r="N956" s="174"/>
      <c r="O956" s="173"/>
    </row>
    <row r="957" spans="1:15">
      <c r="A957" s="171"/>
      <c r="B957" s="136"/>
      <c r="N957" s="174"/>
      <c r="O957" s="173"/>
    </row>
    <row r="958" spans="1:15">
      <c r="A958" s="171"/>
      <c r="B958" s="136"/>
      <c r="N958" s="174"/>
      <c r="O958" s="173"/>
    </row>
    <row r="959" spans="1:15">
      <c r="A959" s="171"/>
      <c r="B959" s="136"/>
      <c r="N959" s="174"/>
      <c r="O959" s="173"/>
    </row>
    <row r="960" spans="1:15">
      <c r="A960" s="171"/>
      <c r="B960" s="136"/>
      <c r="N960" s="174"/>
      <c r="O960" s="173"/>
    </row>
    <row r="961" spans="1:15">
      <c r="A961" s="171"/>
      <c r="B961" s="136"/>
      <c r="N961" s="174"/>
      <c r="O961" s="173"/>
    </row>
    <row r="962" spans="1:15">
      <c r="A962" s="171"/>
      <c r="B962" s="136"/>
      <c r="N962" s="174"/>
      <c r="O962" s="173"/>
    </row>
    <row r="963" spans="1:15">
      <c r="A963" s="171"/>
      <c r="B963" s="136"/>
      <c r="N963" s="174"/>
      <c r="O963" s="173"/>
    </row>
    <row r="964" spans="1:15">
      <c r="A964" s="171"/>
      <c r="B964" s="136"/>
      <c r="N964" s="174"/>
      <c r="O964" s="173"/>
    </row>
    <row r="965" spans="1:15">
      <c r="A965" s="171"/>
      <c r="B965" s="136"/>
      <c r="N965" s="174"/>
      <c r="O965" s="173"/>
    </row>
    <row r="966" spans="1:15">
      <c r="A966" s="171"/>
      <c r="B966" s="136"/>
      <c r="N966" s="174"/>
      <c r="O966" s="173"/>
    </row>
    <row r="967" spans="1:15">
      <c r="A967" s="171"/>
      <c r="B967" s="136"/>
      <c r="N967" s="174"/>
      <c r="O967" s="173"/>
    </row>
    <row r="968" spans="1:15">
      <c r="A968" s="171"/>
      <c r="B968" s="136"/>
      <c r="N968" s="174"/>
      <c r="O968" s="173"/>
    </row>
    <row r="969" spans="1:15">
      <c r="A969" s="171"/>
      <c r="B969" s="136"/>
      <c r="N969" s="174"/>
      <c r="O969" s="173"/>
    </row>
    <row r="970" spans="1:15">
      <c r="A970" s="171"/>
      <c r="B970" s="136"/>
      <c r="N970" s="174"/>
      <c r="O970" s="173"/>
    </row>
    <row r="971" spans="1:15">
      <c r="A971" s="171"/>
      <c r="B971" s="136"/>
      <c r="N971" s="174"/>
      <c r="O971" s="173"/>
    </row>
    <row r="972" spans="1:15">
      <c r="A972" s="171"/>
      <c r="B972" s="136"/>
      <c r="N972" s="174"/>
      <c r="O972" s="173"/>
    </row>
    <row r="973" spans="1:15">
      <c r="A973" s="171"/>
      <c r="B973" s="136"/>
      <c r="N973" s="174"/>
      <c r="O973" s="173"/>
    </row>
    <row r="974" spans="1:15">
      <c r="A974" s="171"/>
      <c r="B974" s="136"/>
      <c r="N974" s="174"/>
      <c r="O974" s="173"/>
    </row>
    <row r="975" spans="1:15">
      <c r="A975" s="171"/>
      <c r="B975" s="136"/>
      <c r="N975" s="174"/>
      <c r="O975" s="173"/>
    </row>
    <row r="976" spans="1:15">
      <c r="A976" s="171"/>
      <c r="B976" s="136"/>
      <c r="N976" s="174"/>
      <c r="O976" s="173"/>
    </row>
    <row r="977" spans="1:15">
      <c r="A977" s="171"/>
      <c r="B977" s="136"/>
      <c r="N977" s="174"/>
      <c r="O977" s="173"/>
    </row>
    <row r="978" spans="1:15">
      <c r="A978" s="171"/>
      <c r="B978" s="136"/>
      <c r="N978" s="174"/>
      <c r="O978" s="173"/>
    </row>
    <row r="979" spans="1:15">
      <c r="A979" s="171"/>
      <c r="B979" s="136"/>
      <c r="N979" s="174"/>
      <c r="O979" s="173"/>
    </row>
    <row r="980" spans="1:15">
      <c r="A980" s="171"/>
      <c r="B980" s="136"/>
      <c r="N980" s="174"/>
      <c r="O980" s="173"/>
    </row>
    <row r="981" spans="1:15">
      <c r="A981" s="171"/>
      <c r="B981" s="136"/>
      <c r="N981" s="174"/>
      <c r="O981" s="173"/>
    </row>
    <row r="982" spans="1:15">
      <c r="A982" s="171"/>
      <c r="B982" s="136"/>
      <c r="N982" s="174"/>
      <c r="O982" s="173"/>
    </row>
    <row r="983" spans="1:15">
      <c r="A983" s="171"/>
      <c r="B983" s="136"/>
      <c r="N983" s="174"/>
      <c r="O983" s="173"/>
    </row>
    <row r="984" spans="1:15">
      <c r="A984" s="171"/>
      <c r="B984" s="136"/>
      <c r="N984" s="174"/>
      <c r="O984" s="173"/>
    </row>
    <row r="985" spans="1:15">
      <c r="A985" s="171"/>
      <c r="B985" s="136"/>
      <c r="N985" s="174"/>
      <c r="O985" s="173"/>
    </row>
    <row r="986" spans="1:15">
      <c r="A986" s="171"/>
      <c r="B986" s="136"/>
      <c r="N986" s="174"/>
      <c r="O986" s="173"/>
    </row>
    <row r="987" spans="1:15">
      <c r="A987" s="171"/>
      <c r="B987" s="136"/>
      <c r="N987" s="174"/>
      <c r="O987" s="173"/>
    </row>
    <row r="988" spans="1:15">
      <c r="A988" s="171"/>
      <c r="B988" s="136"/>
      <c r="N988" s="174"/>
      <c r="O988" s="173"/>
    </row>
    <row r="989" spans="1:15">
      <c r="A989" s="171"/>
      <c r="B989" s="136"/>
      <c r="N989" s="174"/>
      <c r="O989" s="173"/>
    </row>
    <row r="990" spans="1:15">
      <c r="A990" s="171"/>
      <c r="B990" s="136"/>
      <c r="N990" s="174"/>
      <c r="O990" s="173"/>
    </row>
    <row r="991" spans="1:15">
      <c r="A991" s="171"/>
      <c r="B991" s="136"/>
      <c r="N991" s="174"/>
      <c r="O991" s="173"/>
    </row>
    <row r="992" spans="1:15">
      <c r="A992" s="171"/>
      <c r="B992" s="136"/>
      <c r="N992" s="174"/>
      <c r="O992" s="173"/>
    </row>
    <row r="993" spans="1:15">
      <c r="A993" s="171"/>
      <c r="B993" s="136"/>
      <c r="N993" s="174"/>
      <c r="O993" s="173"/>
    </row>
  </sheetData>
  <sheetProtection password="CD8E" sheet="1" objects="1" scenarios="1" selectLockedCells="1"/>
  <mergeCells count="5">
    <mergeCell ref="B1:L3"/>
    <mergeCell ref="B33:K34"/>
    <mergeCell ref="B53:J54"/>
    <mergeCell ref="B72:K73"/>
    <mergeCell ref="B87:K88"/>
  </mergeCells>
  <conditionalFormatting sqref="B16:M76 B78:M92 B77:G77 I77:M77">
    <cfRule type="cellIs" dxfId="42" priority="2" operator="equal">
      <formula>"Correct"</formula>
    </cfRule>
    <cfRule type="cellIs" dxfId="41" priority="3" operator="equal">
      <formula>0</formula>
    </cfRule>
  </conditionalFormatting>
  <conditionalFormatting sqref="B20:M76 B78:M91 B77:G77 I77:M77">
    <cfRule type="cellIs" dxfId="40" priority="1" operator="equal">
      <formula>"Incorrect"</formula>
    </cfRule>
  </conditionalFormatting>
  <hyperlinks>
    <hyperlink ref="F8" location="BuildingSupply!A70" display="Go To Graph"/>
  </hyperlink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65537" r:id="rId3" name="Spinner 1">
              <controlPr defaultSize="0" autoPict="0">
                <anchor moveWithCells="1" sizeWithCells="1">
                  <from>
                    <xdr:col>2</xdr:col>
                    <xdr:colOff>330200</xdr:colOff>
                    <xdr:row>20</xdr:row>
                    <xdr:rowOff>25400</xdr:rowOff>
                  </from>
                  <to>
                    <xdr:col>2</xdr:col>
                    <xdr:colOff>546100</xdr:colOff>
                    <xdr:row>20</xdr:row>
                    <xdr:rowOff>215900</xdr:rowOff>
                  </to>
                </anchor>
              </controlPr>
            </control>
          </mc:Choice>
          <mc:Fallback/>
        </mc:AlternateContent>
        <mc:AlternateContent xmlns:mc="http://schemas.openxmlformats.org/markup-compatibility/2006">
          <mc:Choice Requires="x14">
            <control shapeId="65538" r:id="rId4" name="Spinner 2">
              <controlPr defaultSize="0" autoPict="0">
                <anchor moveWithCells="1" sizeWithCells="1">
                  <from>
                    <xdr:col>2</xdr:col>
                    <xdr:colOff>330200</xdr:colOff>
                    <xdr:row>21</xdr:row>
                    <xdr:rowOff>25400</xdr:rowOff>
                  </from>
                  <to>
                    <xdr:col>2</xdr:col>
                    <xdr:colOff>546100</xdr:colOff>
                    <xdr:row>21</xdr:row>
                    <xdr:rowOff>215900</xdr:rowOff>
                  </to>
                </anchor>
              </controlPr>
            </control>
          </mc:Choice>
          <mc:Fallback/>
        </mc:AlternateContent>
        <mc:AlternateContent xmlns:mc="http://schemas.openxmlformats.org/markup-compatibility/2006">
          <mc:Choice Requires="x14">
            <control shapeId="65539" r:id="rId5" name="Spinner 3">
              <controlPr defaultSize="0" autoPict="0">
                <anchor moveWithCells="1" sizeWithCells="1">
                  <from>
                    <xdr:col>2</xdr:col>
                    <xdr:colOff>330200</xdr:colOff>
                    <xdr:row>22</xdr:row>
                    <xdr:rowOff>25400</xdr:rowOff>
                  </from>
                  <to>
                    <xdr:col>2</xdr:col>
                    <xdr:colOff>546100</xdr:colOff>
                    <xdr:row>22</xdr:row>
                    <xdr:rowOff>215900</xdr:rowOff>
                  </to>
                </anchor>
              </controlPr>
            </control>
          </mc:Choice>
          <mc:Fallback/>
        </mc:AlternateContent>
        <mc:AlternateContent xmlns:mc="http://schemas.openxmlformats.org/markup-compatibility/2006">
          <mc:Choice Requires="x14">
            <control shapeId="65540" r:id="rId6" name="Spinner 4">
              <controlPr defaultSize="0" autoPict="0">
                <anchor moveWithCells="1" sizeWithCells="1">
                  <from>
                    <xdr:col>2</xdr:col>
                    <xdr:colOff>330200</xdr:colOff>
                    <xdr:row>23</xdr:row>
                    <xdr:rowOff>25400</xdr:rowOff>
                  </from>
                  <to>
                    <xdr:col>2</xdr:col>
                    <xdr:colOff>546100</xdr:colOff>
                    <xdr:row>23</xdr:row>
                    <xdr:rowOff>215900</xdr:rowOff>
                  </to>
                </anchor>
              </controlPr>
            </control>
          </mc:Choice>
          <mc:Fallback/>
        </mc:AlternateContent>
        <mc:AlternateContent xmlns:mc="http://schemas.openxmlformats.org/markup-compatibility/2006">
          <mc:Choice Requires="x14">
            <control shapeId="65541" r:id="rId7" name="Spinner 5">
              <controlPr defaultSize="0" autoPict="0">
                <anchor moveWithCells="1" sizeWithCells="1">
                  <from>
                    <xdr:col>2</xdr:col>
                    <xdr:colOff>330200</xdr:colOff>
                    <xdr:row>24</xdr:row>
                    <xdr:rowOff>25400</xdr:rowOff>
                  </from>
                  <to>
                    <xdr:col>2</xdr:col>
                    <xdr:colOff>546100</xdr:colOff>
                    <xdr:row>24</xdr:row>
                    <xdr:rowOff>215900</xdr:rowOff>
                  </to>
                </anchor>
              </controlPr>
            </control>
          </mc:Choice>
          <mc:Fallback/>
        </mc:AlternateContent>
        <mc:AlternateContent xmlns:mc="http://schemas.openxmlformats.org/markup-compatibility/2006">
          <mc:Choice Requires="x14">
            <control shapeId="65542" r:id="rId8" name="Spinner 6">
              <controlPr defaultSize="0" autoPict="0">
                <anchor moveWithCells="1" sizeWithCells="1">
                  <from>
                    <xdr:col>2</xdr:col>
                    <xdr:colOff>330200</xdr:colOff>
                    <xdr:row>25</xdr:row>
                    <xdr:rowOff>25400</xdr:rowOff>
                  </from>
                  <to>
                    <xdr:col>2</xdr:col>
                    <xdr:colOff>546100</xdr:colOff>
                    <xdr:row>25</xdr:row>
                    <xdr:rowOff>215900</xdr:rowOff>
                  </to>
                </anchor>
              </controlPr>
            </control>
          </mc:Choice>
          <mc:Fallback/>
        </mc:AlternateContent>
        <mc:AlternateContent xmlns:mc="http://schemas.openxmlformats.org/markup-compatibility/2006">
          <mc:Choice Requires="x14">
            <control shapeId="65543" r:id="rId9" name="Drop Down 7">
              <controlPr defaultSize="0" autoLine="0" autoPict="0">
                <anchor moveWithCells="1">
                  <from>
                    <xdr:col>7</xdr:col>
                    <xdr:colOff>431800</xdr:colOff>
                    <xdr:row>28</xdr:row>
                    <xdr:rowOff>0</xdr:rowOff>
                  </from>
                  <to>
                    <xdr:col>11</xdr:col>
                    <xdr:colOff>596900</xdr:colOff>
                    <xdr:row>29</xdr:row>
                    <xdr:rowOff>38100</xdr:rowOff>
                  </to>
                </anchor>
              </controlPr>
            </control>
          </mc:Choice>
          <mc:Fallback/>
        </mc:AlternateContent>
        <mc:AlternateContent xmlns:mc="http://schemas.openxmlformats.org/markup-compatibility/2006">
          <mc:Choice Requires="x14">
            <control shapeId="65544" r:id="rId10" name="Spinner 8">
              <controlPr defaultSize="0" autoPict="0">
                <anchor moveWithCells="1" sizeWithCells="1">
                  <from>
                    <xdr:col>2</xdr:col>
                    <xdr:colOff>330200</xdr:colOff>
                    <xdr:row>36</xdr:row>
                    <xdr:rowOff>25400</xdr:rowOff>
                  </from>
                  <to>
                    <xdr:col>2</xdr:col>
                    <xdr:colOff>546100</xdr:colOff>
                    <xdr:row>36</xdr:row>
                    <xdr:rowOff>215900</xdr:rowOff>
                  </to>
                </anchor>
              </controlPr>
            </control>
          </mc:Choice>
          <mc:Fallback/>
        </mc:AlternateContent>
        <mc:AlternateContent xmlns:mc="http://schemas.openxmlformats.org/markup-compatibility/2006">
          <mc:Choice Requires="x14">
            <control shapeId="65545" r:id="rId11" name="Spinner 9">
              <controlPr defaultSize="0" autoPict="0">
                <anchor moveWithCells="1" sizeWithCells="1">
                  <from>
                    <xdr:col>2</xdr:col>
                    <xdr:colOff>330200</xdr:colOff>
                    <xdr:row>37</xdr:row>
                    <xdr:rowOff>25400</xdr:rowOff>
                  </from>
                  <to>
                    <xdr:col>2</xdr:col>
                    <xdr:colOff>546100</xdr:colOff>
                    <xdr:row>37</xdr:row>
                    <xdr:rowOff>215900</xdr:rowOff>
                  </to>
                </anchor>
              </controlPr>
            </control>
          </mc:Choice>
          <mc:Fallback/>
        </mc:AlternateContent>
        <mc:AlternateContent xmlns:mc="http://schemas.openxmlformats.org/markup-compatibility/2006">
          <mc:Choice Requires="x14">
            <control shapeId="65546" r:id="rId12" name="Spinner 10">
              <controlPr defaultSize="0" autoPict="0">
                <anchor moveWithCells="1" sizeWithCells="1">
                  <from>
                    <xdr:col>2</xdr:col>
                    <xdr:colOff>330200</xdr:colOff>
                    <xdr:row>38</xdr:row>
                    <xdr:rowOff>25400</xdr:rowOff>
                  </from>
                  <to>
                    <xdr:col>2</xdr:col>
                    <xdr:colOff>546100</xdr:colOff>
                    <xdr:row>38</xdr:row>
                    <xdr:rowOff>215900</xdr:rowOff>
                  </to>
                </anchor>
              </controlPr>
            </control>
          </mc:Choice>
          <mc:Fallback/>
        </mc:AlternateContent>
        <mc:AlternateContent xmlns:mc="http://schemas.openxmlformats.org/markup-compatibility/2006">
          <mc:Choice Requires="x14">
            <control shapeId="65547" r:id="rId13" name="Spinner 11">
              <controlPr defaultSize="0" autoPict="0">
                <anchor moveWithCells="1" sizeWithCells="1">
                  <from>
                    <xdr:col>2</xdr:col>
                    <xdr:colOff>330200</xdr:colOff>
                    <xdr:row>39</xdr:row>
                    <xdr:rowOff>25400</xdr:rowOff>
                  </from>
                  <to>
                    <xdr:col>2</xdr:col>
                    <xdr:colOff>546100</xdr:colOff>
                    <xdr:row>39</xdr:row>
                    <xdr:rowOff>215900</xdr:rowOff>
                  </to>
                </anchor>
              </controlPr>
            </control>
          </mc:Choice>
          <mc:Fallback/>
        </mc:AlternateContent>
        <mc:AlternateContent xmlns:mc="http://schemas.openxmlformats.org/markup-compatibility/2006">
          <mc:Choice Requires="x14">
            <control shapeId="65548" r:id="rId14" name="Spinner 12">
              <controlPr defaultSize="0" autoPict="0">
                <anchor moveWithCells="1" sizeWithCells="1">
                  <from>
                    <xdr:col>2</xdr:col>
                    <xdr:colOff>330200</xdr:colOff>
                    <xdr:row>40</xdr:row>
                    <xdr:rowOff>25400</xdr:rowOff>
                  </from>
                  <to>
                    <xdr:col>2</xdr:col>
                    <xdr:colOff>546100</xdr:colOff>
                    <xdr:row>40</xdr:row>
                    <xdr:rowOff>215900</xdr:rowOff>
                  </to>
                </anchor>
              </controlPr>
            </control>
          </mc:Choice>
          <mc:Fallback/>
        </mc:AlternateContent>
        <mc:AlternateContent xmlns:mc="http://schemas.openxmlformats.org/markup-compatibility/2006">
          <mc:Choice Requires="x14">
            <control shapeId="65549" r:id="rId15" name="Spinner 13">
              <controlPr defaultSize="0" autoPict="0">
                <anchor moveWithCells="1" sizeWithCells="1">
                  <from>
                    <xdr:col>2</xdr:col>
                    <xdr:colOff>330200</xdr:colOff>
                    <xdr:row>41</xdr:row>
                    <xdr:rowOff>25400</xdr:rowOff>
                  </from>
                  <to>
                    <xdr:col>2</xdr:col>
                    <xdr:colOff>546100</xdr:colOff>
                    <xdr:row>41</xdr:row>
                    <xdr:rowOff>215900</xdr:rowOff>
                  </to>
                </anchor>
              </controlPr>
            </control>
          </mc:Choice>
          <mc:Fallback/>
        </mc:AlternateContent>
        <mc:AlternateContent xmlns:mc="http://schemas.openxmlformats.org/markup-compatibility/2006">
          <mc:Choice Requires="x14">
            <control shapeId="65550" r:id="rId16" name="Drop Down 14">
              <controlPr defaultSize="0" autoLine="0" autoPict="0">
                <anchor moveWithCells="1">
                  <from>
                    <xdr:col>7</xdr:col>
                    <xdr:colOff>393700</xdr:colOff>
                    <xdr:row>44</xdr:row>
                    <xdr:rowOff>0</xdr:rowOff>
                  </from>
                  <to>
                    <xdr:col>9</xdr:col>
                    <xdr:colOff>457200</xdr:colOff>
                    <xdr:row>45</xdr:row>
                    <xdr:rowOff>38100</xdr:rowOff>
                  </to>
                </anchor>
              </controlPr>
            </control>
          </mc:Choice>
          <mc:Fallback/>
        </mc:AlternateContent>
        <mc:AlternateContent xmlns:mc="http://schemas.openxmlformats.org/markup-compatibility/2006">
          <mc:Choice Requires="x14">
            <control shapeId="65551" r:id="rId17" name="Drop Down 15">
              <controlPr defaultSize="0" autoLine="0" autoPict="0">
                <anchor moveWithCells="1">
                  <from>
                    <xdr:col>1</xdr:col>
                    <xdr:colOff>279400</xdr:colOff>
                    <xdr:row>49</xdr:row>
                    <xdr:rowOff>63500</xdr:rowOff>
                  </from>
                  <to>
                    <xdr:col>7</xdr:col>
                    <xdr:colOff>88900</xdr:colOff>
                    <xdr:row>50</xdr:row>
                    <xdr:rowOff>139700</xdr:rowOff>
                  </to>
                </anchor>
              </controlPr>
            </control>
          </mc:Choice>
          <mc:Fallback/>
        </mc:AlternateContent>
        <mc:AlternateContent xmlns:mc="http://schemas.openxmlformats.org/markup-compatibility/2006">
          <mc:Choice Requires="x14">
            <control shapeId="65552" r:id="rId18" name="Spinner 16">
              <controlPr defaultSize="0" autoPict="0">
                <anchor moveWithCells="1" sizeWithCells="1">
                  <from>
                    <xdr:col>10</xdr:col>
                    <xdr:colOff>254000</xdr:colOff>
                    <xdr:row>59</xdr:row>
                    <xdr:rowOff>50800</xdr:rowOff>
                  </from>
                  <to>
                    <xdr:col>10</xdr:col>
                    <xdr:colOff>469900</xdr:colOff>
                    <xdr:row>60</xdr:row>
                    <xdr:rowOff>101600</xdr:rowOff>
                  </to>
                </anchor>
              </controlPr>
            </control>
          </mc:Choice>
          <mc:Fallback/>
        </mc:AlternateContent>
        <mc:AlternateContent xmlns:mc="http://schemas.openxmlformats.org/markup-compatibility/2006">
          <mc:Choice Requires="x14">
            <control shapeId="65553" r:id="rId19" name="Drop Down 17">
              <controlPr defaultSize="0" autoLine="0" autoPict="0">
                <anchor moveWithCells="1">
                  <from>
                    <xdr:col>6</xdr:col>
                    <xdr:colOff>177800</xdr:colOff>
                    <xdr:row>75</xdr:row>
                    <xdr:rowOff>38100</xdr:rowOff>
                  </from>
                  <to>
                    <xdr:col>8</xdr:col>
                    <xdr:colOff>266700</xdr:colOff>
                    <xdr:row>76</xdr:row>
                    <xdr:rowOff>88900</xdr:rowOff>
                  </to>
                </anchor>
              </controlPr>
            </control>
          </mc:Choice>
          <mc:Fallback/>
        </mc:AlternateContent>
        <mc:AlternateContent xmlns:mc="http://schemas.openxmlformats.org/markup-compatibility/2006">
          <mc:Choice Requires="x14">
            <control shapeId="65554" r:id="rId20" name="Drop Down 18">
              <controlPr defaultSize="0" autoLine="0" autoPict="0">
                <anchor moveWithCells="1">
                  <from>
                    <xdr:col>2</xdr:col>
                    <xdr:colOff>50800</xdr:colOff>
                    <xdr:row>79</xdr:row>
                    <xdr:rowOff>25400</xdr:rowOff>
                  </from>
                  <to>
                    <xdr:col>4</xdr:col>
                    <xdr:colOff>76200</xdr:colOff>
                    <xdr:row>80</xdr:row>
                    <xdr:rowOff>50800</xdr:rowOff>
                  </to>
                </anchor>
              </controlPr>
            </control>
          </mc:Choice>
          <mc:Fallback/>
        </mc:AlternateContent>
        <mc:AlternateContent xmlns:mc="http://schemas.openxmlformats.org/markup-compatibility/2006">
          <mc:Choice Requires="x14">
            <control shapeId="65555" r:id="rId21" name="Drop Down 19">
              <controlPr defaultSize="0" autoLine="0" autoPict="0">
                <anchor moveWithCells="1">
                  <from>
                    <xdr:col>2</xdr:col>
                    <xdr:colOff>50800</xdr:colOff>
                    <xdr:row>83</xdr:row>
                    <xdr:rowOff>25400</xdr:rowOff>
                  </from>
                  <to>
                    <xdr:col>4</xdr:col>
                    <xdr:colOff>76200</xdr:colOff>
                    <xdr:row>84</xdr:row>
                    <xdr:rowOff>50800</xdr:rowOff>
                  </to>
                </anchor>
              </controlPr>
            </control>
          </mc:Choice>
          <mc:Fallback/>
        </mc:AlternateContent>
        <mc:AlternateContent xmlns:mc="http://schemas.openxmlformats.org/markup-compatibility/2006">
          <mc:Choice Requires="x14">
            <control shapeId="65556" r:id="rId22" name="Drop Down 20">
              <controlPr defaultSize="0" autoLine="0" autoPict="0">
                <anchor moveWithCells="1">
                  <from>
                    <xdr:col>1</xdr:col>
                    <xdr:colOff>469900</xdr:colOff>
                    <xdr:row>88</xdr:row>
                    <xdr:rowOff>25400</xdr:rowOff>
                  </from>
                  <to>
                    <xdr:col>5</xdr:col>
                    <xdr:colOff>609600</xdr:colOff>
                    <xdr:row>89</xdr:row>
                    <xdr:rowOff>50800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26"/>
  </sheetPr>
  <dimension ref="A1:AK98"/>
  <sheetViews>
    <sheetView topLeftCell="A4" workbookViewId="0">
      <pane ySplit="4560" topLeftCell="A80" activePane="bottomLeft"/>
      <selection activeCell="C4" sqref="C4"/>
      <selection pane="bottomLeft" activeCell="E86" sqref="E86"/>
    </sheetView>
  </sheetViews>
  <sheetFormatPr baseColWidth="10" defaultColWidth="8.83203125" defaultRowHeight="13" x14ac:dyDescent="0"/>
  <cols>
    <col min="1" max="1" width="8.83203125" style="61"/>
    <col min="2" max="2" width="16.33203125" style="40" bestFit="1" customWidth="1"/>
    <col min="3" max="3" width="15.83203125" style="40" customWidth="1"/>
    <col min="4" max="5" width="8.83203125" style="40"/>
    <col min="6" max="6" width="25.5" style="40" customWidth="1"/>
    <col min="7" max="9" width="8.83203125" style="40"/>
    <col min="10" max="10" width="8.83203125" style="63"/>
    <col min="11" max="20" width="8.83203125" style="25"/>
    <col min="21" max="37" width="8.83203125" style="24"/>
  </cols>
  <sheetData>
    <row r="1" spans="2:8" ht="12.75" customHeight="1">
      <c r="B1" s="192" t="str">
        <f>CSSols!B1</f>
        <v>The following athletes are providing individualized athletic training.  A lesson is two hours per week.  The names of the athletes are listed along with their opportunity cost for providing the lesson.  The opportunity cost measures the maximum the athlete could earn doing something else.</v>
      </c>
      <c r="C1" s="199"/>
      <c r="D1" s="199"/>
      <c r="E1" s="199"/>
      <c r="F1" s="199"/>
      <c r="G1" s="199"/>
      <c r="H1" s="199"/>
    </row>
    <row r="2" spans="2:8">
      <c r="B2" s="206"/>
      <c r="C2" s="199"/>
      <c r="D2" s="199"/>
      <c r="E2" s="199"/>
      <c r="F2" s="199"/>
      <c r="G2" s="199"/>
      <c r="H2" s="199"/>
    </row>
    <row r="3" spans="2:8">
      <c r="B3" s="206"/>
      <c r="C3" s="199"/>
      <c r="D3" s="199"/>
      <c r="E3" s="199"/>
      <c r="F3" s="199"/>
      <c r="G3" s="199"/>
      <c r="H3" s="199"/>
    </row>
    <row r="5" spans="2:8">
      <c r="B5" s="38" t="str">
        <f>CSSols!B5</f>
        <v>Trainers</v>
      </c>
      <c r="C5" s="38" t="str">
        <f>CSSols!C5</f>
        <v>Opportunity Cost</v>
      </c>
    </row>
    <row r="6" spans="2:8">
      <c r="B6" s="40" t="str">
        <f>CSSols!B6</f>
        <v>Kobe</v>
      </c>
      <c r="C6" s="41">
        <f>CSSols!C6</f>
        <v>60.1</v>
      </c>
      <c r="F6" s="42" t="s">
        <v>193</v>
      </c>
    </row>
    <row r="7" spans="2:8">
      <c r="B7" s="40" t="str">
        <f>CSSols!B7</f>
        <v>Mickey</v>
      </c>
      <c r="C7" s="41">
        <f>CSSols!C7</f>
        <v>38.700000000000003</v>
      </c>
      <c r="F7" s="40" t="s">
        <v>194</v>
      </c>
    </row>
    <row r="8" spans="2:8">
      <c r="B8" s="40" t="str">
        <f>CSSols!B8</f>
        <v>Serena</v>
      </c>
      <c r="C8" s="41">
        <f>CSSols!C8</f>
        <v>22.3</v>
      </c>
      <c r="F8" s="43" t="s">
        <v>45</v>
      </c>
    </row>
    <row r="9" spans="2:8">
      <c r="B9" s="40" t="str">
        <f>CSSols!B9</f>
        <v>Tiger</v>
      </c>
      <c r="C9" s="41">
        <f>CSSols!C9</f>
        <v>89</v>
      </c>
    </row>
    <row r="10" spans="2:8">
      <c r="B10" s="40" t="str">
        <f>CSSols!B10</f>
        <v>Venus</v>
      </c>
      <c r="C10" s="41">
        <f>CSSols!C10</f>
        <v>70.5</v>
      </c>
      <c r="G10" s="38" t="s">
        <v>61</v>
      </c>
    </row>
    <row r="11" spans="2:8">
      <c r="C11" s="41"/>
    </row>
    <row r="12" spans="2:8">
      <c r="C12" s="41"/>
    </row>
    <row r="13" spans="2:8">
      <c r="C13" s="41"/>
    </row>
    <row r="14" spans="2:8">
      <c r="C14" s="41"/>
    </row>
    <row r="15" spans="2:8">
      <c r="C15" s="41"/>
    </row>
    <row r="16" spans="2:8">
      <c r="C16" s="41"/>
    </row>
    <row r="17" spans="1:6">
      <c r="A17" s="61" t="s">
        <v>31</v>
      </c>
      <c r="B17" s="191" t="str">
        <f>CSSols!B17</f>
        <v xml:space="preserve">Suppose the price of a two hour lesson is as given below.  Which of the trainers are willing to offer a lesson at this price?  Check all that apply. </v>
      </c>
      <c r="C17" s="191"/>
      <c r="D17" s="191"/>
      <c r="E17" s="191"/>
      <c r="F17" s="191"/>
    </row>
    <row r="18" spans="1:6">
      <c r="B18" s="191"/>
      <c r="C18" s="191"/>
      <c r="D18" s="191"/>
      <c r="E18" s="191"/>
      <c r="F18" s="191"/>
    </row>
    <row r="19" spans="1:6">
      <c r="B19" s="38" t="s">
        <v>32</v>
      </c>
      <c r="C19" s="41">
        <f>CSSols!C19</f>
        <v>74.55</v>
      </c>
    </row>
    <row r="21" spans="1:6" ht="18" customHeight="1">
      <c r="B21" s="40" t="str">
        <f>CSSols!B21</f>
        <v>Kobe</v>
      </c>
      <c r="C21" s="40">
        <f>IF(CSSols!J21=1,"X",0)</f>
        <v>0</v>
      </c>
      <c r="D21" s="49">
        <f>CSSols!D21</f>
        <v>0</v>
      </c>
    </row>
    <row r="22" spans="1:6" ht="18" customHeight="1">
      <c r="B22" s="40" t="str">
        <f>CSSols!B22</f>
        <v>Mickey</v>
      </c>
      <c r="C22" s="40">
        <f>IF(CSSols!J22=1,"X",0)</f>
        <v>0</v>
      </c>
      <c r="D22" s="49">
        <f>CSSols!D22</f>
        <v>0</v>
      </c>
    </row>
    <row r="23" spans="1:6" ht="18" customHeight="1">
      <c r="B23" s="40" t="str">
        <f>CSSols!B23</f>
        <v>Serena</v>
      </c>
      <c r="C23" s="40">
        <f>IF(CSSols!J23=1,"X",0)</f>
        <v>0</v>
      </c>
      <c r="D23" s="49">
        <f>CSSols!D23</f>
        <v>0</v>
      </c>
    </row>
    <row r="24" spans="1:6" ht="18" customHeight="1">
      <c r="B24" s="40" t="str">
        <f>CSSols!B24</f>
        <v>Tiger</v>
      </c>
      <c r="C24" s="40">
        <f>IF(CSSols!J24=1,"X",0)</f>
        <v>0</v>
      </c>
      <c r="D24" s="49">
        <f>CSSols!D24</f>
        <v>0</v>
      </c>
    </row>
    <row r="25" spans="1:6" ht="18" customHeight="1">
      <c r="B25" s="40" t="str">
        <f>CSSols!B25</f>
        <v>Venus</v>
      </c>
      <c r="C25" s="40">
        <f>IF(CSSols!J25=1,"X",0)</f>
        <v>0</v>
      </c>
      <c r="D25" s="49">
        <f>CSSols!D25</f>
        <v>0</v>
      </c>
    </row>
    <row r="26" spans="1:6" ht="18" customHeight="1">
      <c r="B26" s="117" t="s">
        <v>292</v>
      </c>
      <c r="C26" s="33" t="str">
        <f>IF(CSSols!H27=1,"Yes","No")</f>
        <v>No</v>
      </c>
    </row>
    <row r="29" spans="1:6">
      <c r="B29" s="40">
        <f>IF(AND(CSSols!H21=CSSols!J21,CSSols!H22=CSSols!J22,CSSols!H23=CSSols!J23,CSSols!H24=CSSols!J24,CSSols!H25=CSSols!J25,CSSols!H27=1),CSSols!B29,0)</f>
        <v>0</v>
      </c>
      <c r="D29" s="38"/>
      <c r="E29" s="41">
        <f>IF(AND(CSSols!H21=CSSols!J21,CSSols!H22=CSSols!J22,CSSols!H23=CSSols!J23,CSSols!H24=CSSols!J24,CSSols!H25=CSSols!J25,CSSols!H27=1),CSSols!E29,0)</f>
        <v>0</v>
      </c>
      <c r="F29" s="40">
        <f>IF(AND(CSSols!H21=CSSols!J21,CSSols!H22=CSSols!J22,CSSols!H23=CSSols!J23,CSSols!H24=CSSols!J24,CSSols!H25=CSSols!J25,CSSols!H27=1)," is",0)</f>
        <v>0</v>
      </c>
    </row>
    <row r="30" spans="1:6">
      <c r="D30" s="38"/>
      <c r="E30" s="50"/>
    </row>
    <row r="31" spans="1:6">
      <c r="D31" s="38"/>
      <c r="E31" s="50"/>
      <c r="F31" s="49">
        <f>CSSols!F31</f>
        <v>0</v>
      </c>
    </row>
    <row r="33" spans="2:6">
      <c r="B33" s="191">
        <f>IF(F31="Correct",CSSols!B33,0)</f>
        <v>0</v>
      </c>
      <c r="C33" s="191"/>
      <c r="D33" s="191"/>
      <c r="E33" s="191"/>
      <c r="F33" s="191"/>
    </row>
    <row r="34" spans="2:6">
      <c r="B34" s="191"/>
      <c r="C34" s="191"/>
      <c r="D34" s="191"/>
      <c r="E34" s="191"/>
      <c r="F34" s="191"/>
    </row>
    <row r="35" spans="2:6">
      <c r="B35" s="38">
        <f>IF(F31="Correct","new price",0)</f>
        <v>0</v>
      </c>
      <c r="C35" s="41">
        <f>IF($F$31="Correct",CSSols!C35,0)</f>
        <v>0</v>
      </c>
    </row>
    <row r="37" spans="2:6" ht="18" customHeight="1">
      <c r="B37" s="40" t="str">
        <f>CSSols!B37</f>
        <v>Kobe</v>
      </c>
      <c r="C37" s="40">
        <f>IF(CSSols!J37=1,"X",0)</f>
        <v>0</v>
      </c>
      <c r="D37" s="49">
        <f>CSSols!D37</f>
        <v>0</v>
      </c>
    </row>
    <row r="38" spans="2:6" ht="18" customHeight="1">
      <c r="B38" s="40" t="str">
        <f>CSSols!B38</f>
        <v>Mickey</v>
      </c>
      <c r="C38" s="40">
        <f>IF(CSSols!J38=1,"X",0)</f>
        <v>0</v>
      </c>
      <c r="D38" s="49">
        <f>CSSols!D38</f>
        <v>0</v>
      </c>
    </row>
    <row r="39" spans="2:6" ht="18" customHeight="1">
      <c r="B39" s="40" t="str">
        <f>CSSols!B39</f>
        <v>Serena</v>
      </c>
      <c r="C39" s="40">
        <f>IF(CSSols!J39=1,"X",0)</f>
        <v>0</v>
      </c>
      <c r="D39" s="49">
        <f>CSSols!D39</f>
        <v>0</v>
      </c>
    </row>
    <row r="40" spans="2:6" ht="18" customHeight="1">
      <c r="B40" s="40" t="str">
        <f>CSSols!B40</f>
        <v>Tiger</v>
      </c>
      <c r="C40" s="40">
        <f>IF(CSSols!J40=1,"X",0)</f>
        <v>0</v>
      </c>
      <c r="D40" s="49">
        <f>CSSols!D40</f>
        <v>0</v>
      </c>
    </row>
    <row r="41" spans="2:6" ht="18" customHeight="1">
      <c r="B41" s="40" t="str">
        <f>CSSols!B41</f>
        <v>Venus</v>
      </c>
      <c r="C41" s="40">
        <f>IF(CSSols!J41=1,"X",0)</f>
        <v>0</v>
      </c>
      <c r="D41" s="49">
        <f>CSSols!D41</f>
        <v>0</v>
      </c>
    </row>
    <row r="42" spans="2:6" ht="18" customHeight="1">
      <c r="B42" s="117" t="s">
        <v>292</v>
      </c>
      <c r="C42" s="33" t="str">
        <f>IF(CSSols!H43=1,"Yes","No")</f>
        <v>No</v>
      </c>
    </row>
    <row r="45" spans="2:6">
      <c r="B45" s="40">
        <f>IF(AND(D37="Correct",D38="Correct",D39="Correct",D40="Correct",D41="Correct"),CSSols!B45,0)</f>
        <v>0</v>
      </c>
      <c r="D45" s="38"/>
      <c r="E45" s="41">
        <f>IF(AND(D37="Correct",D38="Correct",D39="Correct",D40="Correct",D41="Correct"),CSSols!E45,0)</f>
        <v>0</v>
      </c>
      <c r="F45" s="40">
        <f>IF(AND(D37="Correct",D38="Correct",D39="Correct",D40="Correct",D41="Correct"),"is",0)</f>
        <v>0</v>
      </c>
    </row>
    <row r="47" spans="2:6">
      <c r="F47" s="49">
        <f>CSSols!F47</f>
        <v>0</v>
      </c>
    </row>
    <row r="49" spans="1:8">
      <c r="B49" s="40">
        <f>IF(F47="Correct",CSSols!B49,0)</f>
        <v>0</v>
      </c>
    </row>
    <row r="51" spans="1:8">
      <c r="F51" s="49">
        <f>CSSols!F51</f>
        <v>0</v>
      </c>
    </row>
    <row r="52" spans="1:8">
      <c r="F52" s="49"/>
    </row>
    <row r="53" spans="1:8" ht="12.75" customHeight="1">
      <c r="A53" s="61" t="s">
        <v>43</v>
      </c>
      <c r="B53" s="192">
        <f>IF(F51="Correct",CSSols!B53,0)</f>
        <v>0</v>
      </c>
      <c r="C53" s="193"/>
      <c r="D53" s="193"/>
      <c r="E53" s="193"/>
      <c r="F53" s="193"/>
      <c r="G53" s="193"/>
    </row>
    <row r="54" spans="1:8">
      <c r="B54" s="192"/>
      <c r="C54" s="193"/>
      <c r="D54" s="193"/>
      <c r="E54" s="193"/>
      <c r="F54" s="193"/>
      <c r="G54" s="193"/>
    </row>
    <row r="57" spans="1:8">
      <c r="H57" s="38"/>
    </row>
    <row r="60" spans="1:8">
      <c r="G60" s="38" t="s">
        <v>44</v>
      </c>
    </row>
    <row r="61" spans="1:8">
      <c r="H61" s="41">
        <f>CSSols!I58</f>
        <v>30.8</v>
      </c>
    </row>
    <row r="70" spans="1:6">
      <c r="A70" s="62"/>
    </row>
    <row r="72" spans="1:6">
      <c r="B72" s="40">
        <f>IF(F51="Correct","To make the graph appear in the upper frame, click the link there.  Use the Select Price",0)</f>
        <v>0</v>
      </c>
    </row>
    <row r="73" spans="1:6">
      <c r="B73" s="40">
        <f>IF(F51="Correct"," button to help visualize the answers to the following questions.",0)</f>
        <v>0</v>
      </c>
    </row>
    <row r="75" spans="1:6">
      <c r="B75" s="40">
        <f>IF(F51="Correct",CSSols!B75,0)</f>
        <v>0</v>
      </c>
      <c r="D75" s="207">
        <f>IF(F51="Correct",CSSols!D75,0)</f>
        <v>0</v>
      </c>
      <c r="E75" s="207"/>
      <c r="F75" s="40">
        <f>IF(F51="Correct",CSSols!F75,0)</f>
        <v>0</v>
      </c>
    </row>
    <row r="76" spans="1:6">
      <c r="B76" s="38">
        <f>IF(F51="Correct",CSSols!B76,0)</f>
        <v>0</v>
      </c>
      <c r="C76" s="40">
        <f>IF(F51="Correct",CSSols!C76,0)</f>
        <v>0</v>
      </c>
      <c r="F76" s="57">
        <f>CSSols!F76</f>
        <v>0</v>
      </c>
    </row>
    <row r="79" spans="1:6">
      <c r="B79" s="40">
        <f>IF(F76="Correct",CSSols!B79,0)</f>
        <v>0</v>
      </c>
      <c r="D79" s="38">
        <f>IF(F76="Correct",CSSols!D79,0)</f>
        <v>0</v>
      </c>
      <c r="F79" s="40">
        <f>IF(F76="Correct",CSSols!F79,0)</f>
        <v>0</v>
      </c>
    </row>
    <row r="80" spans="1:6">
      <c r="B80" s="40">
        <f>IF(F76="Correct","is",0)</f>
        <v>0</v>
      </c>
      <c r="C80" s="57">
        <f>CSSols!C80</f>
        <v>0</v>
      </c>
    </row>
    <row r="83" spans="2:8">
      <c r="B83" s="40">
        <f>IF(C80="Correct",CSSols!B83,0)</f>
        <v>0</v>
      </c>
      <c r="D83" s="38">
        <f>IF(C80="Correct",CSSols!D83,0)</f>
        <v>0</v>
      </c>
      <c r="F83" s="40">
        <f>IF(C80="Correct",CSSols!F83,0)</f>
        <v>0</v>
      </c>
    </row>
    <row r="84" spans="2:8">
      <c r="B84" s="40">
        <f>IF(C80="Correct","is",0)</f>
        <v>0</v>
      </c>
      <c r="C84" s="57">
        <f>CSSols!C84</f>
        <v>0</v>
      </c>
    </row>
    <row r="87" spans="2:8">
      <c r="B87" s="191">
        <f>IF(C84="Correct",CSSols!B87,0)</f>
        <v>0</v>
      </c>
      <c r="C87" s="191"/>
      <c r="D87" s="191"/>
      <c r="E87" s="191"/>
      <c r="F87" s="191"/>
    </row>
    <row r="88" spans="2:8">
      <c r="B88" s="191"/>
      <c r="C88" s="191"/>
      <c r="D88" s="191"/>
      <c r="E88" s="191"/>
      <c r="F88" s="191"/>
    </row>
    <row r="89" spans="2:8">
      <c r="G89" s="64"/>
      <c r="H89" s="64"/>
    </row>
    <row r="90" spans="2:8">
      <c r="F90" s="57">
        <f>CSSols!F90</f>
        <v>0</v>
      </c>
    </row>
    <row r="91" spans="2:8" ht="16">
      <c r="G91" s="60"/>
    </row>
    <row r="92" spans="2:8" ht="16">
      <c r="E92" s="124">
        <f>IF(AND(F90="Correct",F47="Correct",F51="Correct", F76="Correct",C80="Correct",C84="Correct",F90="Correct"),"Very Good! Go to the next sheet.",0)</f>
        <v>0</v>
      </c>
    </row>
    <row r="98" spans="9:9">
      <c r="I98" s="40" t="s">
        <v>13</v>
      </c>
    </row>
  </sheetData>
  <sheetProtection selectLockedCells="1"/>
  <mergeCells count="6">
    <mergeCell ref="B1:H3"/>
    <mergeCell ref="B87:F88"/>
    <mergeCell ref="B17:F18"/>
    <mergeCell ref="B33:F34"/>
    <mergeCell ref="D75:E75"/>
    <mergeCell ref="B53:G54"/>
  </mergeCells>
  <phoneticPr fontId="8" type="noConversion"/>
  <conditionalFormatting sqref="B21:H90">
    <cfRule type="cellIs" dxfId="39" priority="1" operator="equal">
      <formula>"Incorrect"</formula>
    </cfRule>
    <cfRule type="cellIs" dxfId="38" priority="2" operator="equal">
      <formula>"Correct"</formula>
    </cfRule>
    <cfRule type="cellIs" dxfId="37" priority="3" operator="equal">
      <formula>0</formula>
    </cfRule>
  </conditionalFormatting>
  <hyperlinks>
    <hyperlink ref="F8" location="ConstructingSupply!A70" display="Go To Graph"/>
  </hyperlinks>
  <pageMargins left="0.75" right="0.75" top="1" bottom="1" header="0.5" footer="0.5"/>
  <pageSetup orientation="portrait" horizontalDpi="200" verticalDpi="200"/>
  <headerFooter alignWithMargins="0"/>
  <drawing r:id="rId1"/>
  <legacyDrawing r:id="rId2"/>
  <oleObjects>
    <mc:AlternateContent xmlns:mc="http://schemas.openxmlformats.org/markup-compatibility/2006">
      <mc:Choice Requires="x14">
        <oleObject progId="word.document.8" dvAspect="DVASPECT_ICON" shapeId="48150" r:id="rId3">
          <objectPr locked="0" defaultSize="0" autoPict="0" r:id="rId4">
            <anchor moveWithCells="1">
              <from>
                <xdr:col>6</xdr:col>
                <xdr:colOff>114300</xdr:colOff>
                <xdr:row>10</xdr:row>
                <xdr:rowOff>25400</xdr:rowOff>
              </from>
              <to>
                <xdr:col>7</xdr:col>
                <xdr:colOff>355600</xdr:colOff>
                <xdr:row>14</xdr:row>
                <xdr:rowOff>76200</xdr:rowOff>
              </to>
            </anchor>
          </objectPr>
        </oleObject>
      </mc:Choice>
      <mc:Fallback>
        <oleObject progId="word.document.8" dvAspect="DVASPECT_ICON" shapeId="48150" r:id="rId3"/>
      </mc:Fallback>
    </mc:AlternateContent>
  </oleObjects>
  <mc:AlternateContent xmlns:mc="http://schemas.openxmlformats.org/markup-compatibility/2006">
    <mc:Choice Requires="x14">
      <controls>
        <mc:AlternateContent xmlns:mc="http://schemas.openxmlformats.org/markup-compatibility/2006">
          <mc:Choice Requires="x14">
            <control shapeId="48141" r:id="rId5" name="Drop Down 13">
              <controlPr defaultSize="0" autoLine="0" autoPict="0">
                <anchor moveWithCells="1">
                  <from>
                    <xdr:col>5</xdr:col>
                    <xdr:colOff>228600</xdr:colOff>
                    <xdr:row>28</xdr:row>
                    <xdr:rowOff>12700</xdr:rowOff>
                  </from>
                  <to>
                    <xdr:col>5</xdr:col>
                    <xdr:colOff>1320800</xdr:colOff>
                    <xdr:row>29</xdr:row>
                    <xdr:rowOff>38100</xdr:rowOff>
                  </to>
                </anchor>
              </controlPr>
            </control>
          </mc:Choice>
          <mc:Fallback/>
        </mc:AlternateContent>
        <mc:AlternateContent xmlns:mc="http://schemas.openxmlformats.org/markup-compatibility/2006">
          <mc:Choice Requires="x14">
            <control shapeId="48142" r:id="rId6" name="Drop Down 14">
              <controlPr defaultSize="0" autoLine="0" autoPict="0">
                <anchor moveWithCells="1">
                  <from>
                    <xdr:col>5</xdr:col>
                    <xdr:colOff>177800</xdr:colOff>
                    <xdr:row>43</xdr:row>
                    <xdr:rowOff>127000</xdr:rowOff>
                  </from>
                  <to>
                    <xdr:col>5</xdr:col>
                    <xdr:colOff>1384300</xdr:colOff>
                    <xdr:row>45</xdr:row>
                    <xdr:rowOff>38100</xdr:rowOff>
                  </to>
                </anchor>
              </controlPr>
            </control>
          </mc:Choice>
          <mc:Fallback/>
        </mc:AlternateContent>
        <mc:AlternateContent xmlns:mc="http://schemas.openxmlformats.org/markup-compatibility/2006">
          <mc:Choice Requires="x14">
            <control shapeId="48143" r:id="rId7" name="Drop Down 15">
              <controlPr defaultSize="0" autoLine="0" autoPict="0">
                <anchor moveWithCells="1">
                  <from>
                    <xdr:col>1</xdr:col>
                    <xdr:colOff>317500</xdr:colOff>
                    <xdr:row>49</xdr:row>
                    <xdr:rowOff>88900</xdr:rowOff>
                  </from>
                  <to>
                    <xdr:col>4</xdr:col>
                    <xdr:colOff>292100</xdr:colOff>
                    <xdr:row>51</xdr:row>
                    <xdr:rowOff>12700</xdr:rowOff>
                  </to>
                </anchor>
              </controlPr>
            </control>
          </mc:Choice>
          <mc:Fallback/>
        </mc:AlternateContent>
        <mc:AlternateContent xmlns:mc="http://schemas.openxmlformats.org/markup-compatibility/2006">
          <mc:Choice Requires="x14">
            <control shapeId="48146" r:id="rId8" name="Drop Down 18">
              <controlPr defaultSize="0" autoLine="0" autoPict="0">
                <anchor moveWithCells="1">
                  <from>
                    <xdr:col>4</xdr:col>
                    <xdr:colOff>177800</xdr:colOff>
                    <xdr:row>75</xdr:row>
                    <xdr:rowOff>12700</xdr:rowOff>
                  </from>
                  <to>
                    <xdr:col>5</xdr:col>
                    <xdr:colOff>939800</xdr:colOff>
                    <xdr:row>76</xdr:row>
                    <xdr:rowOff>38100</xdr:rowOff>
                  </to>
                </anchor>
              </controlPr>
            </control>
          </mc:Choice>
          <mc:Fallback/>
        </mc:AlternateContent>
        <mc:AlternateContent xmlns:mc="http://schemas.openxmlformats.org/markup-compatibility/2006">
          <mc:Choice Requires="x14">
            <control shapeId="48147" r:id="rId9" name="Drop Down 19">
              <controlPr defaultSize="0" autoLine="0" autoPict="0">
                <anchor moveWithCells="1">
                  <from>
                    <xdr:col>1</xdr:col>
                    <xdr:colOff>190500</xdr:colOff>
                    <xdr:row>79</xdr:row>
                    <xdr:rowOff>12700</xdr:rowOff>
                  </from>
                  <to>
                    <xdr:col>2</xdr:col>
                    <xdr:colOff>393700</xdr:colOff>
                    <xdr:row>80</xdr:row>
                    <xdr:rowOff>50800</xdr:rowOff>
                  </to>
                </anchor>
              </controlPr>
            </control>
          </mc:Choice>
          <mc:Fallback/>
        </mc:AlternateContent>
        <mc:AlternateContent xmlns:mc="http://schemas.openxmlformats.org/markup-compatibility/2006">
          <mc:Choice Requires="x14">
            <control shapeId="48148" r:id="rId10" name="Drop Down 20">
              <controlPr defaultSize="0" autoLine="0" autoPict="0">
                <anchor moveWithCells="1">
                  <from>
                    <xdr:col>1</xdr:col>
                    <xdr:colOff>177800</xdr:colOff>
                    <xdr:row>83</xdr:row>
                    <xdr:rowOff>12700</xdr:rowOff>
                  </from>
                  <to>
                    <xdr:col>2</xdr:col>
                    <xdr:colOff>368300</xdr:colOff>
                    <xdr:row>84</xdr:row>
                    <xdr:rowOff>50800</xdr:rowOff>
                  </to>
                </anchor>
              </controlPr>
            </control>
          </mc:Choice>
          <mc:Fallback/>
        </mc:AlternateContent>
        <mc:AlternateContent xmlns:mc="http://schemas.openxmlformats.org/markup-compatibility/2006">
          <mc:Choice Requires="x14">
            <control shapeId="48149" r:id="rId11" name="Drop Down 21">
              <controlPr defaultSize="0" autoLine="0" autoPict="0">
                <anchor moveWithCells="1">
                  <from>
                    <xdr:col>2</xdr:col>
                    <xdr:colOff>139700</xdr:colOff>
                    <xdr:row>88</xdr:row>
                    <xdr:rowOff>38100</xdr:rowOff>
                  </from>
                  <to>
                    <xdr:col>5</xdr:col>
                    <xdr:colOff>215900</xdr:colOff>
                    <xdr:row>89</xdr:row>
                    <xdr:rowOff>63500</xdr:rowOff>
                  </to>
                </anchor>
              </controlPr>
            </control>
          </mc:Choice>
          <mc:Fallback/>
        </mc:AlternateContent>
        <mc:AlternateContent xmlns:mc="http://schemas.openxmlformats.org/markup-compatibility/2006">
          <mc:Choice Requires="x14">
            <control shapeId="48151" r:id="rId12" name="Spinner 23">
              <controlPr defaultSize="0" autoPict="0">
                <anchor moveWithCells="1" sizeWithCells="1">
                  <from>
                    <xdr:col>1</xdr:col>
                    <xdr:colOff>635000</xdr:colOff>
                    <xdr:row>20</xdr:row>
                    <xdr:rowOff>76200</xdr:rowOff>
                  </from>
                  <to>
                    <xdr:col>1</xdr:col>
                    <xdr:colOff>787400</xdr:colOff>
                    <xdr:row>21</xdr:row>
                    <xdr:rowOff>25400</xdr:rowOff>
                  </to>
                </anchor>
              </controlPr>
            </control>
          </mc:Choice>
          <mc:Fallback/>
        </mc:AlternateContent>
        <mc:AlternateContent xmlns:mc="http://schemas.openxmlformats.org/markup-compatibility/2006">
          <mc:Choice Requires="x14">
            <control shapeId="48152" r:id="rId13" name="Spinner 24">
              <controlPr defaultSize="0" autoPict="0">
                <anchor moveWithCells="1" sizeWithCells="1">
                  <from>
                    <xdr:col>1</xdr:col>
                    <xdr:colOff>635000</xdr:colOff>
                    <xdr:row>21</xdr:row>
                    <xdr:rowOff>76200</xdr:rowOff>
                  </from>
                  <to>
                    <xdr:col>1</xdr:col>
                    <xdr:colOff>787400</xdr:colOff>
                    <xdr:row>22</xdr:row>
                    <xdr:rowOff>25400</xdr:rowOff>
                  </to>
                </anchor>
              </controlPr>
            </control>
          </mc:Choice>
          <mc:Fallback/>
        </mc:AlternateContent>
        <mc:AlternateContent xmlns:mc="http://schemas.openxmlformats.org/markup-compatibility/2006">
          <mc:Choice Requires="x14">
            <control shapeId="48153" r:id="rId14" name="Spinner 25">
              <controlPr defaultSize="0" autoPict="0">
                <anchor moveWithCells="1" sizeWithCells="1">
                  <from>
                    <xdr:col>1</xdr:col>
                    <xdr:colOff>635000</xdr:colOff>
                    <xdr:row>22</xdr:row>
                    <xdr:rowOff>76200</xdr:rowOff>
                  </from>
                  <to>
                    <xdr:col>1</xdr:col>
                    <xdr:colOff>787400</xdr:colOff>
                    <xdr:row>23</xdr:row>
                    <xdr:rowOff>25400</xdr:rowOff>
                  </to>
                </anchor>
              </controlPr>
            </control>
          </mc:Choice>
          <mc:Fallback/>
        </mc:AlternateContent>
        <mc:AlternateContent xmlns:mc="http://schemas.openxmlformats.org/markup-compatibility/2006">
          <mc:Choice Requires="x14">
            <control shapeId="48154" r:id="rId15" name="Spinner 26">
              <controlPr defaultSize="0" autoPict="0">
                <anchor moveWithCells="1" sizeWithCells="1">
                  <from>
                    <xdr:col>1</xdr:col>
                    <xdr:colOff>635000</xdr:colOff>
                    <xdr:row>23</xdr:row>
                    <xdr:rowOff>76200</xdr:rowOff>
                  </from>
                  <to>
                    <xdr:col>1</xdr:col>
                    <xdr:colOff>787400</xdr:colOff>
                    <xdr:row>24</xdr:row>
                    <xdr:rowOff>25400</xdr:rowOff>
                  </to>
                </anchor>
              </controlPr>
            </control>
          </mc:Choice>
          <mc:Fallback/>
        </mc:AlternateContent>
        <mc:AlternateContent xmlns:mc="http://schemas.openxmlformats.org/markup-compatibility/2006">
          <mc:Choice Requires="x14">
            <control shapeId="48155" r:id="rId16" name="Spinner 27">
              <controlPr defaultSize="0" autoPict="0">
                <anchor moveWithCells="1" sizeWithCells="1">
                  <from>
                    <xdr:col>1</xdr:col>
                    <xdr:colOff>635000</xdr:colOff>
                    <xdr:row>24</xdr:row>
                    <xdr:rowOff>76200</xdr:rowOff>
                  </from>
                  <to>
                    <xdr:col>1</xdr:col>
                    <xdr:colOff>787400</xdr:colOff>
                    <xdr:row>25</xdr:row>
                    <xdr:rowOff>25400</xdr:rowOff>
                  </to>
                </anchor>
              </controlPr>
            </control>
          </mc:Choice>
          <mc:Fallback/>
        </mc:AlternateContent>
        <mc:AlternateContent xmlns:mc="http://schemas.openxmlformats.org/markup-compatibility/2006">
          <mc:Choice Requires="x14">
            <control shapeId="48156" r:id="rId17" name="Spinner 28">
              <controlPr defaultSize="0" autoPict="0">
                <anchor moveWithCells="1" sizeWithCells="1">
                  <from>
                    <xdr:col>1</xdr:col>
                    <xdr:colOff>812800</xdr:colOff>
                    <xdr:row>25</xdr:row>
                    <xdr:rowOff>50800</xdr:rowOff>
                  </from>
                  <to>
                    <xdr:col>1</xdr:col>
                    <xdr:colOff>990600</xdr:colOff>
                    <xdr:row>25</xdr:row>
                    <xdr:rowOff>228600</xdr:rowOff>
                  </to>
                </anchor>
              </controlPr>
            </control>
          </mc:Choice>
          <mc:Fallback/>
        </mc:AlternateContent>
        <mc:AlternateContent xmlns:mc="http://schemas.openxmlformats.org/markup-compatibility/2006">
          <mc:Choice Requires="x14">
            <control shapeId="48157" r:id="rId18" name="Spinner 29">
              <controlPr defaultSize="0" autoPict="0">
                <anchor moveWithCells="1" sizeWithCells="1">
                  <from>
                    <xdr:col>1</xdr:col>
                    <xdr:colOff>635000</xdr:colOff>
                    <xdr:row>36</xdr:row>
                    <xdr:rowOff>76200</xdr:rowOff>
                  </from>
                  <to>
                    <xdr:col>1</xdr:col>
                    <xdr:colOff>787400</xdr:colOff>
                    <xdr:row>37</xdr:row>
                    <xdr:rowOff>25400</xdr:rowOff>
                  </to>
                </anchor>
              </controlPr>
            </control>
          </mc:Choice>
          <mc:Fallback/>
        </mc:AlternateContent>
        <mc:AlternateContent xmlns:mc="http://schemas.openxmlformats.org/markup-compatibility/2006">
          <mc:Choice Requires="x14">
            <control shapeId="48158" r:id="rId19" name="Spinner 30">
              <controlPr defaultSize="0" autoPict="0">
                <anchor moveWithCells="1" sizeWithCells="1">
                  <from>
                    <xdr:col>1</xdr:col>
                    <xdr:colOff>635000</xdr:colOff>
                    <xdr:row>37</xdr:row>
                    <xdr:rowOff>76200</xdr:rowOff>
                  </from>
                  <to>
                    <xdr:col>1</xdr:col>
                    <xdr:colOff>787400</xdr:colOff>
                    <xdr:row>38</xdr:row>
                    <xdr:rowOff>25400</xdr:rowOff>
                  </to>
                </anchor>
              </controlPr>
            </control>
          </mc:Choice>
          <mc:Fallback/>
        </mc:AlternateContent>
        <mc:AlternateContent xmlns:mc="http://schemas.openxmlformats.org/markup-compatibility/2006">
          <mc:Choice Requires="x14">
            <control shapeId="48159" r:id="rId20" name="Spinner 31">
              <controlPr defaultSize="0" autoPict="0">
                <anchor moveWithCells="1" sizeWithCells="1">
                  <from>
                    <xdr:col>1</xdr:col>
                    <xdr:colOff>635000</xdr:colOff>
                    <xdr:row>38</xdr:row>
                    <xdr:rowOff>76200</xdr:rowOff>
                  </from>
                  <to>
                    <xdr:col>1</xdr:col>
                    <xdr:colOff>787400</xdr:colOff>
                    <xdr:row>39</xdr:row>
                    <xdr:rowOff>25400</xdr:rowOff>
                  </to>
                </anchor>
              </controlPr>
            </control>
          </mc:Choice>
          <mc:Fallback/>
        </mc:AlternateContent>
        <mc:AlternateContent xmlns:mc="http://schemas.openxmlformats.org/markup-compatibility/2006">
          <mc:Choice Requires="x14">
            <control shapeId="48160" r:id="rId21" name="Spinner 32">
              <controlPr defaultSize="0" autoPict="0">
                <anchor moveWithCells="1" sizeWithCells="1">
                  <from>
                    <xdr:col>1</xdr:col>
                    <xdr:colOff>635000</xdr:colOff>
                    <xdr:row>39</xdr:row>
                    <xdr:rowOff>76200</xdr:rowOff>
                  </from>
                  <to>
                    <xdr:col>1</xdr:col>
                    <xdr:colOff>787400</xdr:colOff>
                    <xdr:row>40</xdr:row>
                    <xdr:rowOff>25400</xdr:rowOff>
                  </to>
                </anchor>
              </controlPr>
            </control>
          </mc:Choice>
          <mc:Fallback/>
        </mc:AlternateContent>
        <mc:AlternateContent xmlns:mc="http://schemas.openxmlformats.org/markup-compatibility/2006">
          <mc:Choice Requires="x14">
            <control shapeId="48161" r:id="rId22" name="Spinner 33">
              <controlPr defaultSize="0" autoPict="0">
                <anchor moveWithCells="1" sizeWithCells="1">
                  <from>
                    <xdr:col>1</xdr:col>
                    <xdr:colOff>635000</xdr:colOff>
                    <xdr:row>40</xdr:row>
                    <xdr:rowOff>76200</xdr:rowOff>
                  </from>
                  <to>
                    <xdr:col>1</xdr:col>
                    <xdr:colOff>787400</xdr:colOff>
                    <xdr:row>41</xdr:row>
                    <xdr:rowOff>25400</xdr:rowOff>
                  </to>
                </anchor>
              </controlPr>
            </control>
          </mc:Choice>
          <mc:Fallback/>
        </mc:AlternateContent>
        <mc:AlternateContent xmlns:mc="http://schemas.openxmlformats.org/markup-compatibility/2006">
          <mc:Choice Requires="x14">
            <control shapeId="48162" r:id="rId23" name="Spinner 34">
              <controlPr defaultSize="0" autoPict="0">
                <anchor moveWithCells="1" sizeWithCells="1">
                  <from>
                    <xdr:col>1</xdr:col>
                    <xdr:colOff>812800</xdr:colOff>
                    <xdr:row>41</xdr:row>
                    <xdr:rowOff>50800</xdr:rowOff>
                  </from>
                  <to>
                    <xdr:col>1</xdr:col>
                    <xdr:colOff>990600</xdr:colOff>
                    <xdr:row>41</xdr:row>
                    <xdr:rowOff>228600</xdr:rowOff>
                  </to>
                </anchor>
              </controlPr>
            </control>
          </mc:Choice>
          <mc:Fallback/>
        </mc:AlternateContent>
        <mc:AlternateContent xmlns:mc="http://schemas.openxmlformats.org/markup-compatibility/2006">
          <mc:Choice Requires="x14">
            <control shapeId="48163" r:id="rId24" name="Spinner 35">
              <controlPr defaultSize="0" autoPict="0">
                <anchor moveWithCells="1" sizeWithCells="1">
                  <from>
                    <xdr:col>6</xdr:col>
                    <xdr:colOff>215900</xdr:colOff>
                    <xdr:row>60</xdr:row>
                    <xdr:rowOff>50800</xdr:rowOff>
                  </from>
                  <to>
                    <xdr:col>6</xdr:col>
                    <xdr:colOff>495300</xdr:colOff>
                    <xdr:row>61</xdr:row>
                    <xdr:rowOff>114300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theme="3" tint="0.79998168889431442"/>
  </sheetPr>
  <dimension ref="A1:V131"/>
  <sheetViews>
    <sheetView workbookViewId="0">
      <pane ySplit="3200" topLeftCell="A12" activePane="bottomLeft"/>
      <selection activeCell="L1" sqref="L1:V1048576"/>
      <selection pane="bottomLeft" activeCell="C29" sqref="C29"/>
    </sheetView>
  </sheetViews>
  <sheetFormatPr baseColWidth="10" defaultColWidth="8.83203125" defaultRowHeight="13" x14ac:dyDescent="0"/>
  <cols>
    <col min="1" max="1" width="5.83203125" style="167" customWidth="1"/>
    <col min="2" max="2" width="16.1640625" style="40" customWidth="1"/>
    <col min="3" max="3" width="9.6640625" style="40" customWidth="1"/>
    <col min="4" max="4" width="8.6640625" style="40" customWidth="1"/>
    <col min="5" max="5" width="8.83203125" style="40"/>
    <col min="6" max="6" width="20.6640625" style="40" customWidth="1"/>
    <col min="7" max="10" width="8.83203125" style="40"/>
    <col min="11" max="11" width="12.33203125" style="40" customWidth="1"/>
    <col min="12" max="12" width="8.83203125" style="169"/>
    <col min="13" max="22" width="8.83203125" style="170"/>
  </cols>
  <sheetData>
    <row r="1" spans="1:8" ht="12.75" customHeight="1">
      <c r="B1" s="192" t="str">
        <f>TradeSols!B1</f>
        <v xml:space="preserve">We envision that students and trainers pair up and then, if the student's value exceeds the trainer's opportunity cost, a lesson is given at a price that splits the difference between the value and the cost.  We wil consider a couple of ways for the group to pair up.  </v>
      </c>
      <c r="C1" s="193"/>
      <c r="D1" s="193"/>
      <c r="E1" s="193"/>
      <c r="F1" s="193"/>
      <c r="G1" s="193"/>
    </row>
    <row r="2" spans="1:8">
      <c r="B2" s="192"/>
      <c r="C2" s="193"/>
      <c r="D2" s="193"/>
      <c r="E2" s="193"/>
      <c r="F2" s="193"/>
      <c r="G2" s="193"/>
    </row>
    <row r="3" spans="1:8">
      <c r="B3" s="192"/>
      <c r="C3" s="193"/>
      <c r="D3" s="193"/>
      <c r="E3" s="193"/>
      <c r="F3" s="193"/>
      <c r="G3" s="193"/>
    </row>
    <row r="4" spans="1:8">
      <c r="B4" s="192"/>
      <c r="C4" s="193"/>
      <c r="D4" s="193"/>
      <c r="E4" s="193"/>
      <c r="F4" s="193"/>
      <c r="G4" s="193"/>
    </row>
    <row r="5" spans="1:8">
      <c r="H5" s="38" t="s">
        <v>61</v>
      </c>
    </row>
    <row r="6" spans="1:8" ht="12.75" customHeight="1">
      <c r="B6" s="38" t="str">
        <f>TradeSols!B6</f>
        <v>Seeking Lessons</v>
      </c>
      <c r="C6" s="39" t="str">
        <f>TradeSols!C6</f>
        <v>Value</v>
      </c>
      <c r="D6" s="38"/>
      <c r="E6" s="38" t="str">
        <f>TradeSols!E6</f>
        <v>Trainers</v>
      </c>
      <c r="F6" s="39" t="str">
        <f>TradeSols!F6</f>
        <v>Opportunity Cost</v>
      </c>
    </row>
    <row r="7" spans="1:8">
      <c r="B7" s="40" t="str">
        <f>TradeSols!B7</f>
        <v>Abby</v>
      </c>
      <c r="C7" s="41">
        <f>TradeSols!C7</f>
        <v>48.9</v>
      </c>
      <c r="E7" s="40" t="str">
        <f>TradeSols!E7</f>
        <v>Kobe</v>
      </c>
      <c r="F7" s="41">
        <f>TradeSols!F7</f>
        <v>60.1</v>
      </c>
    </row>
    <row r="8" spans="1:8">
      <c r="B8" s="40" t="str">
        <f>TradeSols!B8</f>
        <v>Bailey</v>
      </c>
      <c r="C8" s="41">
        <f>TradeSols!C8</f>
        <v>31</v>
      </c>
      <c r="E8" s="40" t="str">
        <f>TradeSols!E8</f>
        <v>Mickey</v>
      </c>
      <c r="F8" s="41">
        <f>TradeSols!F8</f>
        <v>38.700000000000003</v>
      </c>
    </row>
    <row r="9" spans="1:8">
      <c r="B9" s="40" t="str">
        <f>TradeSols!B9</f>
        <v>Charlene</v>
      </c>
      <c r="C9" s="41">
        <f>TradeSols!C9</f>
        <v>14.5</v>
      </c>
      <c r="E9" s="40" t="str">
        <f>TradeSols!E9</f>
        <v>Serena</v>
      </c>
      <c r="F9" s="41">
        <f>TradeSols!F9</f>
        <v>22.3</v>
      </c>
    </row>
    <row r="10" spans="1:8">
      <c r="B10" s="40" t="str">
        <f>TradeSols!B10</f>
        <v>Dieter</v>
      </c>
      <c r="C10" s="41">
        <f>TradeSols!C10</f>
        <v>82.1</v>
      </c>
      <c r="E10" s="40" t="str">
        <f>TradeSols!E10</f>
        <v>Tiger</v>
      </c>
      <c r="F10" s="41">
        <f>TradeSols!F10</f>
        <v>89</v>
      </c>
    </row>
    <row r="11" spans="1:8">
      <c r="B11" s="40" t="str">
        <f>TradeSols!B11</f>
        <v>Estelle</v>
      </c>
      <c r="C11" s="41">
        <f>TradeSols!C11</f>
        <v>65.2</v>
      </c>
      <c r="E11" s="40" t="str">
        <f>TradeSols!E11</f>
        <v>Venus</v>
      </c>
      <c r="F11" s="41">
        <f>TradeSols!F11</f>
        <v>70.5</v>
      </c>
    </row>
    <row r="13" spans="1:8" ht="12.75" customHeight="1">
      <c r="A13" s="167" t="s">
        <v>31</v>
      </c>
      <c r="B13" s="192" t="str">
        <f>TradeSols!B13</f>
        <v>First, suppose the trainer with the lowest opportunity cost is paired with the student who has the lowest value greater than that cost.  Then the process repeats with the remaining trainers and students.  At each round there may be some students whose value is too low for them to profitably take a lesson.  These students are "out of the market."  The process ends either when all trainers have offered a lesson or when all remaining students are out of the market, in which case the remaining trainers are also out of the market.</v>
      </c>
      <c r="C13" s="193"/>
      <c r="D13" s="193"/>
      <c r="E13" s="193"/>
      <c r="F13" s="193"/>
      <c r="G13" s="193"/>
    </row>
    <row r="14" spans="1:8">
      <c r="B14" s="192"/>
      <c r="C14" s="193"/>
      <c r="D14" s="193"/>
      <c r="E14" s="193"/>
      <c r="F14" s="193"/>
      <c r="G14" s="193"/>
    </row>
    <row r="15" spans="1:8">
      <c r="B15" s="192"/>
      <c r="C15" s="193"/>
      <c r="D15" s="193"/>
      <c r="E15" s="193"/>
      <c r="F15" s="193"/>
      <c r="G15" s="193"/>
    </row>
    <row r="16" spans="1:8">
      <c r="B16" s="192"/>
      <c r="C16" s="193"/>
      <c r="D16" s="193"/>
      <c r="E16" s="193"/>
      <c r="F16" s="193"/>
      <c r="G16" s="193"/>
    </row>
    <row r="17" spans="1:11">
      <c r="B17" s="192"/>
      <c r="C17" s="193"/>
      <c r="D17" s="193"/>
      <c r="E17" s="193"/>
      <c r="F17" s="193"/>
      <c r="G17" s="193"/>
    </row>
    <row r="18" spans="1:11">
      <c r="B18" s="192"/>
      <c r="C18" s="193"/>
      <c r="D18" s="193"/>
      <c r="E18" s="193"/>
      <c r="F18" s="193"/>
      <c r="G18" s="193"/>
    </row>
    <row r="19" spans="1:11">
      <c r="B19" s="192"/>
      <c r="C19" s="193"/>
      <c r="D19" s="193"/>
      <c r="E19" s="193"/>
      <c r="F19" s="193"/>
      <c r="G19" s="193"/>
    </row>
    <row r="20" spans="1:11">
      <c r="C20" s="41"/>
      <c r="D20" s="41"/>
      <c r="F20" s="41"/>
    </row>
    <row r="21" spans="1:11" ht="12.75" customHeight="1">
      <c r="B21" s="38" t="str">
        <f>TradeSols!B21</f>
        <v xml:space="preserve">Match the trainers to the students by writing the initial of the </v>
      </c>
      <c r="C21" s="41"/>
      <c r="D21" s="41"/>
      <c r="F21" s="41"/>
      <c r="H21" s="68" t="str">
        <f>TradeSols!I21</f>
        <v>Indicate all students who</v>
      </c>
      <c r="I21" s="89"/>
      <c r="J21" s="89"/>
      <c r="K21" s="90"/>
    </row>
    <row r="22" spans="1:11">
      <c r="B22" s="38" t="str">
        <f>TradeSols!B22</f>
        <v xml:space="preserve">student (A,B,C,D, or E)next to the appropriate trainer's name. </v>
      </c>
      <c r="C22" s="41"/>
      <c r="D22" s="41"/>
      <c r="F22" s="41"/>
      <c r="H22" s="68" t="str">
        <f>TradeSols!I22</f>
        <v>are out of the market by</v>
      </c>
      <c r="J22" s="68"/>
      <c r="K22" s="90"/>
    </row>
    <row r="23" spans="1:11" ht="14" thickBot="1">
      <c r="B23" s="38" t="str">
        <f>TradeSols!B23</f>
        <v>If the trainer is out of the market, write the letter O.</v>
      </c>
      <c r="C23" s="41"/>
      <c r="D23" s="41"/>
      <c r="F23" s="41"/>
      <c r="H23" s="68" t="str">
        <f>TradeSols!I23</f>
        <v xml:space="preserve">writing the letter O. </v>
      </c>
      <c r="J23" s="68"/>
      <c r="K23" s="90"/>
    </row>
    <row r="24" spans="1:11" ht="14" thickBot="1">
      <c r="B24" s="65" t="str">
        <f>TradeSols!B24</f>
        <v>Kobe</v>
      </c>
      <c r="C24" s="66"/>
      <c r="D24" s="49">
        <f>TradeSols!D24</f>
        <v>0</v>
      </c>
      <c r="H24" s="125" t="s">
        <v>14</v>
      </c>
      <c r="I24" s="127"/>
      <c r="J24" s="41" t="str">
        <f>TradeSols!K24</f>
        <v>Correct</v>
      </c>
    </row>
    <row r="25" spans="1:11" ht="14" thickBot="1">
      <c r="B25" s="65" t="str">
        <f>TradeSols!B25</f>
        <v>Mickey</v>
      </c>
      <c r="C25" s="66"/>
      <c r="D25" s="49">
        <f>TradeSols!D25</f>
        <v>0</v>
      </c>
      <c r="H25" s="125" t="s">
        <v>19</v>
      </c>
      <c r="I25" s="127"/>
      <c r="J25" s="41" t="str">
        <f>TradeSols!K25</f>
        <v>Correct</v>
      </c>
    </row>
    <row r="26" spans="1:11" ht="14" thickBot="1">
      <c r="B26" s="65" t="str">
        <f>TradeSols!B26</f>
        <v>Serena</v>
      </c>
      <c r="C26" s="66"/>
      <c r="D26" s="49">
        <f>TradeSols!D26</f>
        <v>0</v>
      </c>
      <c r="H26" s="125" t="s">
        <v>20</v>
      </c>
      <c r="I26" s="127"/>
      <c r="J26" s="41" t="str">
        <f>TradeSols!K26</f>
        <v>Incorrect</v>
      </c>
    </row>
    <row r="27" spans="1:11" ht="14" thickBot="1">
      <c r="B27" s="65" t="str">
        <f>TradeSols!B27</f>
        <v>Tiger</v>
      </c>
      <c r="C27" s="66"/>
      <c r="D27" s="49">
        <f>TradeSols!D27</f>
        <v>0</v>
      </c>
      <c r="H27" s="125" t="s">
        <v>21</v>
      </c>
      <c r="I27" s="127"/>
      <c r="J27" s="41" t="str">
        <f>TradeSols!K27</f>
        <v>Correct</v>
      </c>
    </row>
    <row r="28" spans="1:11" ht="14" thickBot="1">
      <c r="B28" s="65" t="str">
        <f>TradeSols!B28</f>
        <v>Venus</v>
      </c>
      <c r="C28" s="66"/>
      <c r="D28" s="49">
        <f>TradeSols!D28</f>
        <v>0</v>
      </c>
      <c r="H28" s="125" t="s">
        <v>23</v>
      </c>
      <c r="I28" s="127"/>
      <c r="J28" s="41" t="str">
        <f>TradeSols!K28</f>
        <v>Correct</v>
      </c>
    </row>
    <row r="29" spans="1:11">
      <c r="C29" s="67"/>
    </row>
    <row r="30" spans="1:11">
      <c r="A30" s="168"/>
      <c r="B30" s="40" t="s">
        <v>309</v>
      </c>
    </row>
    <row r="31" spans="1:11">
      <c r="A31" s="168"/>
    </row>
    <row r="32" spans="1:11">
      <c r="A32" s="168"/>
      <c r="B32" s="220" t="str">
        <f>TradeSols!B32</f>
        <v>Trades</v>
      </c>
      <c r="C32" s="220"/>
      <c r="D32" s="220"/>
      <c r="E32" s="220"/>
      <c r="F32" s="68"/>
    </row>
    <row r="33" spans="1:11">
      <c r="A33" s="168"/>
      <c r="B33" s="69" t="str">
        <f>TradeSols!B33</f>
        <v>Student</v>
      </c>
      <c r="C33" s="69" t="str">
        <f>TradeSols!C33</f>
        <v>Trainer</v>
      </c>
      <c r="D33" s="69" t="str">
        <f>TradeSols!D33</f>
        <v>Value</v>
      </c>
      <c r="E33" s="69" t="str">
        <f>TradeSols!E33</f>
        <v>Cost</v>
      </c>
      <c r="F33" s="69" t="str">
        <f>TradeSols!F33</f>
        <v>Price</v>
      </c>
    </row>
    <row r="34" spans="1:11">
      <c r="A34" s="168"/>
      <c r="B34" s="49">
        <f>TradeSols!B34</f>
        <v>0</v>
      </c>
      <c r="C34" s="49">
        <f>TradeSols!C34</f>
        <v>0</v>
      </c>
      <c r="D34" s="70">
        <f>TradeSols!D34</f>
        <v>0</v>
      </c>
      <c r="E34" s="70">
        <f>TradeSols!E34</f>
        <v>0</v>
      </c>
      <c r="F34" s="70">
        <f>TradeSols!F34</f>
        <v>0</v>
      </c>
    </row>
    <row r="35" spans="1:11">
      <c r="A35" s="168"/>
      <c r="B35" s="49">
        <f>TradeSols!B35</f>
        <v>0</v>
      </c>
      <c r="C35" s="49">
        <f>TradeSols!C35</f>
        <v>0</v>
      </c>
      <c r="D35" s="70">
        <f>TradeSols!D35</f>
        <v>0</v>
      </c>
      <c r="E35" s="70">
        <f>TradeSols!E35</f>
        <v>0</v>
      </c>
      <c r="F35" s="70">
        <f>TradeSols!F35</f>
        <v>0</v>
      </c>
    </row>
    <row r="36" spans="1:11">
      <c r="A36" s="168"/>
      <c r="B36" s="49">
        <f>TradeSols!B36</f>
        <v>0</v>
      </c>
      <c r="C36" s="49">
        <f>TradeSols!C36</f>
        <v>0</v>
      </c>
      <c r="D36" s="70">
        <f>TradeSols!D36</f>
        <v>0</v>
      </c>
      <c r="E36" s="70">
        <f>TradeSols!E36</f>
        <v>0</v>
      </c>
      <c r="F36" s="70">
        <f>TradeSols!F36</f>
        <v>0</v>
      </c>
    </row>
    <row r="37" spans="1:11">
      <c r="A37" s="168"/>
      <c r="B37" s="49">
        <f>TradeSols!B37</f>
        <v>0</v>
      </c>
      <c r="C37" s="49">
        <f>TradeSols!C37</f>
        <v>0</v>
      </c>
      <c r="D37" s="70">
        <f>TradeSols!D37</f>
        <v>0</v>
      </c>
      <c r="E37" s="70">
        <f>TradeSols!E37</f>
        <v>0</v>
      </c>
      <c r="F37" s="70">
        <f>TradeSols!F37</f>
        <v>0</v>
      </c>
    </row>
    <row r="38" spans="1:11">
      <c r="A38" s="168"/>
    </row>
    <row r="39" spans="1:11">
      <c r="A39" s="168"/>
      <c r="B39" s="220" t="str">
        <f>TradeSols!B39</f>
        <v>Out of the Market</v>
      </c>
      <c r="C39" s="220"/>
      <c r="D39" s="220"/>
      <c r="E39" s="220"/>
      <c r="F39" s="68"/>
    </row>
    <row r="40" spans="1:11">
      <c r="A40" s="168"/>
      <c r="B40" s="69" t="str">
        <f>TradeSols!B40</f>
        <v>Student</v>
      </c>
      <c r="C40" s="69" t="str">
        <f>TradeSols!C40</f>
        <v>Trainer</v>
      </c>
      <c r="D40" s="69" t="str">
        <f>TradeSols!D40</f>
        <v>Value</v>
      </c>
      <c r="E40" s="69" t="str">
        <f>TradeSols!E40</f>
        <v>Cost</v>
      </c>
    </row>
    <row r="41" spans="1:11">
      <c r="A41" s="168"/>
      <c r="B41" s="49">
        <f>TradeSols!B41</f>
        <v>0</v>
      </c>
      <c r="C41" s="49">
        <f>TradeSols!C41</f>
        <v>0</v>
      </c>
      <c r="D41" s="70">
        <f>TradeSols!D41</f>
        <v>0</v>
      </c>
      <c r="E41" s="70">
        <f>TradeSols!E41</f>
        <v>0</v>
      </c>
    </row>
    <row r="42" spans="1:11">
      <c r="A42" s="168"/>
      <c r="B42" s="49"/>
      <c r="C42" s="49"/>
    </row>
    <row r="46" spans="1:11">
      <c r="F46" s="39" t="str">
        <f>TradeSols!F46</f>
        <v>Select</v>
      </c>
      <c r="G46" s="58" t="str">
        <f>TradeSols!G46</f>
        <v xml:space="preserve"> trade</v>
      </c>
      <c r="I46" s="217" t="str">
        <f>TradeSols!I46</f>
        <v>0 &amp; 0</v>
      </c>
      <c r="J46" s="217"/>
      <c r="K46" s="217"/>
    </row>
    <row r="48" spans="1:11" ht="12.75" customHeight="1">
      <c r="B48" s="218">
        <f>IF(NOT(OR(C34=0,C35=0,C36=0,C37=0)),"It is interesting to observe how much price variation there is under this matching scheme.  Is it possible to have these same lessons given at a single price?",0)</f>
        <v>0</v>
      </c>
      <c r="C48" s="219"/>
      <c r="D48" s="219"/>
      <c r="E48" s="219"/>
      <c r="F48" s="219"/>
    </row>
    <row r="49" spans="1:17">
      <c r="B49" s="218"/>
      <c r="C49" s="219"/>
      <c r="D49" s="219"/>
      <c r="E49" s="219"/>
      <c r="F49" s="219"/>
    </row>
    <row r="50" spans="1:17">
      <c r="B50" s="218"/>
      <c r="C50" s="219"/>
      <c r="D50" s="219"/>
      <c r="E50" s="219"/>
      <c r="F50" s="219"/>
    </row>
    <row r="51" spans="1:17">
      <c r="B51" s="91"/>
      <c r="C51" s="91"/>
      <c r="D51" s="91"/>
      <c r="E51" s="91"/>
      <c r="F51" s="91"/>
    </row>
    <row r="52" spans="1:17">
      <c r="B52" s="214">
        <f>TradeSols!B52</f>
        <v>0</v>
      </c>
      <c r="C52" s="221"/>
      <c r="D52" s="221"/>
      <c r="E52" s="221"/>
      <c r="F52" s="221"/>
      <c r="G52" s="221"/>
    </row>
    <row r="53" spans="1:17">
      <c r="B53" s="222"/>
      <c r="C53" s="221"/>
      <c r="D53" s="221"/>
      <c r="E53" s="221"/>
      <c r="F53" s="221"/>
      <c r="G53" s="221"/>
    </row>
    <row r="55" spans="1:17">
      <c r="B55" s="49">
        <f>TradeSols!B55</f>
        <v>0</v>
      </c>
      <c r="Q55" s="170" t="s">
        <v>13</v>
      </c>
    </row>
    <row r="57" spans="1:17" ht="12.75" customHeight="1">
      <c r="B57" s="214">
        <f>TradeSols!B57</f>
        <v>0</v>
      </c>
      <c r="C57" s="221"/>
      <c r="D57" s="221"/>
      <c r="E57" s="221"/>
      <c r="F57" s="221"/>
      <c r="G57" s="221"/>
      <c r="H57" s="221"/>
      <c r="I57" s="221"/>
    </row>
    <row r="58" spans="1:17">
      <c r="B58" s="222"/>
      <c r="C58" s="221"/>
      <c r="D58" s="221"/>
      <c r="E58" s="221"/>
      <c r="F58" s="221"/>
      <c r="G58" s="221"/>
      <c r="H58" s="221"/>
      <c r="I58" s="221"/>
    </row>
    <row r="60" spans="1:17" ht="12.75" customHeight="1">
      <c r="A60" s="167" t="str">
        <f>TradeSols!A60</f>
        <v>B</v>
      </c>
      <c r="B60" s="192">
        <f>TradeSols!B60</f>
        <v>0</v>
      </c>
      <c r="C60" s="208"/>
      <c r="D60" s="208"/>
      <c r="E60" s="208"/>
      <c r="F60" s="208"/>
      <c r="G60" s="208"/>
      <c r="H60" s="208"/>
    </row>
    <row r="61" spans="1:17">
      <c r="B61" s="209"/>
      <c r="C61" s="208"/>
      <c r="D61" s="208"/>
      <c r="E61" s="208"/>
      <c r="F61" s="208"/>
      <c r="G61" s="208"/>
      <c r="H61" s="208"/>
    </row>
    <row r="62" spans="1:17">
      <c r="B62" s="209"/>
      <c r="C62" s="208"/>
      <c r="D62" s="208"/>
      <c r="E62" s="208"/>
      <c r="F62" s="208"/>
      <c r="G62" s="208"/>
      <c r="H62" s="208"/>
    </row>
    <row r="63" spans="1:17">
      <c r="B63" s="209"/>
      <c r="C63" s="208"/>
      <c r="D63" s="208"/>
      <c r="E63" s="208"/>
      <c r="F63" s="208"/>
      <c r="G63" s="208"/>
      <c r="H63" s="208"/>
    </row>
    <row r="64" spans="1:17">
      <c r="B64" s="209"/>
      <c r="C64" s="208"/>
      <c r="D64" s="208"/>
      <c r="E64" s="208"/>
      <c r="F64" s="208"/>
      <c r="G64" s="208"/>
      <c r="H64" s="208"/>
    </row>
    <row r="65" spans="2:11">
      <c r="B65" s="71"/>
      <c r="C65" s="71"/>
      <c r="D65" s="71"/>
      <c r="E65" s="71"/>
      <c r="F65" s="71"/>
      <c r="G65" s="71"/>
    </row>
    <row r="66" spans="2:11">
      <c r="B66" s="38" t="str">
        <f>TradeSols!B66</f>
        <v>Match the trainers to the students by writing the initial of the</v>
      </c>
      <c r="C66" s="41"/>
      <c r="D66" s="41"/>
      <c r="F66" s="41"/>
      <c r="H66" s="38" t="str">
        <f>TradeSols!I66</f>
        <v>Indicate all students who</v>
      </c>
      <c r="I66" s="38"/>
    </row>
    <row r="67" spans="2:11">
      <c r="B67" s="38" t="str">
        <f>TradeSols!B67</f>
        <v>student (A,B,C,D, or E) next to the appropriate trainer's name.</v>
      </c>
      <c r="C67" s="41"/>
      <c r="D67" s="41"/>
      <c r="F67" s="41"/>
      <c r="H67" s="38" t="str">
        <f>TradeSols!I67</f>
        <v>are out of the market by</v>
      </c>
      <c r="I67" s="38"/>
    </row>
    <row r="68" spans="2:11" ht="14" thickBot="1">
      <c r="B68" s="38" t="str">
        <f>TradeSols!B68</f>
        <v>If the trainer is our of the market, write the letter O.</v>
      </c>
      <c r="C68" s="41"/>
      <c r="D68" s="41"/>
      <c r="F68" s="41"/>
      <c r="H68" s="38" t="str">
        <f>TradeSols!I68</f>
        <v xml:space="preserve">writing the letter O. </v>
      </c>
      <c r="I68" s="38"/>
    </row>
    <row r="69" spans="2:11" ht="14" thickBot="1">
      <c r="B69" s="65" t="str">
        <f>TradeSols!B69</f>
        <v>Kobe</v>
      </c>
      <c r="C69" s="66"/>
      <c r="D69" s="49">
        <f>TradeSols!D69</f>
        <v>0</v>
      </c>
      <c r="H69" s="125" t="str">
        <f>TradeSols!I69</f>
        <v>Abby</v>
      </c>
      <c r="I69" s="127"/>
      <c r="J69" s="41" t="str">
        <f>TradeSols!K69</f>
        <v>Incorrect</v>
      </c>
    </row>
    <row r="70" spans="2:11" ht="14" thickBot="1">
      <c r="B70" s="65" t="str">
        <f>TradeSols!B70</f>
        <v>Mickey</v>
      </c>
      <c r="C70" s="66"/>
      <c r="D70" s="49">
        <f>TradeSols!D70</f>
        <v>0</v>
      </c>
      <c r="H70" s="125" t="str">
        <f>TradeSols!I70</f>
        <v>Bailey</v>
      </c>
      <c r="I70" s="127"/>
      <c r="J70" s="41" t="str">
        <f>TradeSols!K70</f>
        <v>Incorrect</v>
      </c>
    </row>
    <row r="71" spans="2:11" ht="14" thickBot="1">
      <c r="B71" s="65" t="str">
        <f>TradeSols!B71</f>
        <v>Serena</v>
      </c>
      <c r="C71" s="66"/>
      <c r="D71" s="49">
        <f>TradeSols!D71</f>
        <v>0</v>
      </c>
      <c r="H71" s="125" t="str">
        <f>TradeSols!I71</f>
        <v>Charlene</v>
      </c>
      <c r="I71" s="127"/>
      <c r="J71" s="41" t="str">
        <f>TradeSols!K71</f>
        <v>Incorrect</v>
      </c>
    </row>
    <row r="72" spans="2:11" ht="14" thickBot="1">
      <c r="B72" s="65" t="str">
        <f>TradeSols!B72</f>
        <v>Tiger</v>
      </c>
      <c r="C72" s="66"/>
      <c r="D72" s="49">
        <f>TradeSols!D72</f>
        <v>0</v>
      </c>
      <c r="H72" s="125" t="str">
        <f>TradeSols!I72</f>
        <v>Dieter</v>
      </c>
      <c r="I72" s="127"/>
      <c r="J72" s="41" t="str">
        <f>TradeSols!K72</f>
        <v>Correct</v>
      </c>
    </row>
    <row r="73" spans="2:11" ht="14" thickBot="1">
      <c r="B73" s="65" t="str">
        <f>TradeSols!B73</f>
        <v>Venus</v>
      </c>
      <c r="C73" s="66"/>
      <c r="D73" s="49">
        <f>TradeSols!D73</f>
        <v>0</v>
      </c>
      <c r="H73" s="125" t="str">
        <f>TradeSols!I73</f>
        <v>Estelle</v>
      </c>
      <c r="I73" s="127"/>
      <c r="J73" s="41" t="str">
        <f>TradeSols!K73</f>
        <v>Correct</v>
      </c>
    </row>
    <row r="74" spans="2:11">
      <c r="B74" s="72"/>
      <c r="C74" s="73"/>
      <c r="D74" s="72"/>
      <c r="E74" s="72"/>
      <c r="F74" s="72"/>
      <c r="G74" s="72"/>
      <c r="H74" s="72"/>
      <c r="I74" s="72"/>
      <c r="J74" s="72"/>
      <c r="K74" s="72"/>
    </row>
    <row r="75" spans="2:11">
      <c r="B75" s="40" t="s">
        <v>92</v>
      </c>
    </row>
    <row r="77" spans="2:11">
      <c r="B77" s="220" t="str">
        <f>TradeSols!B77</f>
        <v>Trades</v>
      </c>
      <c r="C77" s="220"/>
      <c r="D77" s="220"/>
      <c r="E77" s="220"/>
      <c r="F77" s="68"/>
    </row>
    <row r="78" spans="2:11">
      <c r="B78" s="69" t="str">
        <f>TradeSols!B78</f>
        <v>Student</v>
      </c>
      <c r="C78" s="69" t="str">
        <f>TradeSols!C78</f>
        <v>Trainer</v>
      </c>
      <c r="D78" s="69" t="str">
        <f>TradeSols!D78</f>
        <v>Value</v>
      </c>
      <c r="E78" s="69" t="str">
        <f>TradeSols!E78</f>
        <v>Cost</v>
      </c>
      <c r="F78" s="69" t="str">
        <f>TradeSols!F78</f>
        <v>Price</v>
      </c>
    </row>
    <row r="79" spans="2:11">
      <c r="B79" s="49">
        <f>TradeSols!B79</f>
        <v>0</v>
      </c>
      <c r="C79" s="49">
        <f>TradeSols!C79</f>
        <v>0</v>
      </c>
      <c r="D79" s="70">
        <f>TradeSols!D79</f>
        <v>0</v>
      </c>
      <c r="E79" s="70">
        <f>TradeSols!E79</f>
        <v>0</v>
      </c>
      <c r="F79" s="70">
        <f>TradeSols!F79</f>
        <v>0</v>
      </c>
    </row>
    <row r="80" spans="2:11">
      <c r="B80" s="49">
        <f>TradeSols!B80</f>
        <v>0</v>
      </c>
      <c r="C80" s="49">
        <f>TradeSols!C80</f>
        <v>0</v>
      </c>
      <c r="D80" s="70">
        <f>TradeSols!D80</f>
        <v>0</v>
      </c>
      <c r="E80" s="70">
        <f>TradeSols!E80</f>
        <v>0</v>
      </c>
      <c r="F80" s="70">
        <f>TradeSols!F80</f>
        <v>0</v>
      </c>
    </row>
    <row r="84" spans="2:11">
      <c r="B84" s="220" t="str">
        <f>TradeSols!B84</f>
        <v>Out of the Market</v>
      </c>
      <c r="C84" s="220"/>
      <c r="D84" s="220"/>
      <c r="E84" s="220"/>
      <c r="F84" s="68"/>
    </row>
    <row r="85" spans="2:11">
      <c r="B85" s="69" t="str">
        <f>TradeSols!B85</f>
        <v>Student</v>
      </c>
      <c r="C85" s="69" t="str">
        <f>TradeSols!C85</f>
        <v>Trainer</v>
      </c>
      <c r="D85" s="69" t="str">
        <f>TradeSols!D85</f>
        <v>Value</v>
      </c>
      <c r="E85" s="69" t="str">
        <f>TradeSols!E85</f>
        <v>Cost</v>
      </c>
    </row>
    <row r="86" spans="2:11">
      <c r="B86" s="49">
        <f>TradeSols!B86</f>
        <v>0</v>
      </c>
      <c r="C86" s="49">
        <f>TradeSols!C86</f>
        <v>0</v>
      </c>
      <c r="D86" s="70">
        <f>TradeSols!D86</f>
        <v>0</v>
      </c>
      <c r="E86" s="70">
        <f>TradeSols!E86</f>
        <v>0</v>
      </c>
    </row>
    <row r="87" spans="2:11">
      <c r="B87" s="49">
        <f>TradeSols!B87</f>
        <v>0</v>
      </c>
      <c r="C87" s="49">
        <f>TradeSols!C87</f>
        <v>0</v>
      </c>
      <c r="D87" s="70">
        <f>TradeSols!D87</f>
        <v>0</v>
      </c>
      <c r="E87" s="70">
        <f>TradeSols!E87</f>
        <v>0</v>
      </c>
    </row>
    <row r="88" spans="2:11">
      <c r="B88" s="49">
        <f>TradeSols!B88</f>
        <v>0</v>
      </c>
      <c r="C88" s="49">
        <f>TradeSols!C88</f>
        <v>0</v>
      </c>
      <c r="D88" s="70">
        <f>TradeSols!D88</f>
        <v>0</v>
      </c>
      <c r="E88" s="70">
        <f>TradeSols!E88</f>
        <v>0</v>
      </c>
    </row>
    <row r="91" spans="2:11">
      <c r="F91" s="39" t="str">
        <f>TradeSols!F91</f>
        <v>Select</v>
      </c>
      <c r="G91" s="58" t="str">
        <f>TradeSols!G91</f>
        <v xml:space="preserve"> trade</v>
      </c>
      <c r="I91" s="217" t="str">
        <f>TradeSols!I91</f>
        <v>0 &amp; 0</v>
      </c>
      <c r="J91" s="217"/>
      <c r="K91" s="217"/>
    </row>
    <row r="93" spans="2:11">
      <c r="B93" s="212">
        <f>TradeSols!B93</f>
        <v>0</v>
      </c>
      <c r="C93" s="212"/>
      <c r="D93" s="212"/>
      <c r="E93" s="212"/>
      <c r="F93" s="212"/>
    </row>
    <row r="94" spans="2:11">
      <c r="B94" s="212"/>
      <c r="C94" s="212"/>
      <c r="D94" s="212"/>
      <c r="E94" s="212"/>
      <c r="F94" s="212"/>
    </row>
    <row r="96" spans="2:11" ht="12.75" customHeight="1">
      <c r="B96" s="214">
        <f>TradeSols!B96</f>
        <v>0</v>
      </c>
      <c r="C96" s="215"/>
      <c r="D96" s="215"/>
      <c r="E96" s="215"/>
      <c r="F96" s="215"/>
      <c r="G96" s="215"/>
      <c r="H96" s="215"/>
      <c r="I96" s="215"/>
      <c r="J96" s="215"/>
    </row>
    <row r="97" spans="2:10">
      <c r="B97" s="216"/>
      <c r="C97" s="215"/>
      <c r="D97" s="215"/>
      <c r="E97" s="215"/>
      <c r="F97" s="215"/>
      <c r="G97" s="215"/>
      <c r="H97" s="215"/>
      <c r="I97" s="215"/>
      <c r="J97" s="215"/>
    </row>
    <row r="99" spans="2:10">
      <c r="B99" s="49">
        <f>TradeSols!B99</f>
        <v>0</v>
      </c>
    </row>
    <row r="102" spans="2:10" ht="12.75" customHeight="1">
      <c r="B102" s="223">
        <f>TradeSols!B102</f>
        <v>0</v>
      </c>
      <c r="C102" s="221"/>
      <c r="D102" s="221"/>
      <c r="E102" s="221"/>
      <c r="F102" s="221"/>
      <c r="G102" s="221"/>
      <c r="H102" s="221"/>
    </row>
    <row r="103" spans="2:10">
      <c r="B103" s="222"/>
      <c r="C103" s="221"/>
      <c r="D103" s="221"/>
      <c r="E103" s="221"/>
      <c r="F103" s="221"/>
      <c r="G103" s="221"/>
      <c r="H103" s="221"/>
    </row>
    <row r="104" spans="2:10">
      <c r="B104" s="222"/>
      <c r="C104" s="221"/>
      <c r="D104" s="221"/>
      <c r="E104" s="221"/>
      <c r="F104" s="221"/>
      <c r="G104" s="221"/>
      <c r="H104" s="221"/>
    </row>
    <row r="106" spans="2:10">
      <c r="B106" s="210">
        <f>TradeSols!B106</f>
        <v>0</v>
      </c>
      <c r="C106" s="190"/>
      <c r="D106" s="190"/>
      <c r="E106" s="190"/>
      <c r="F106" s="190"/>
      <c r="G106" s="190"/>
    </row>
    <row r="107" spans="2:10">
      <c r="B107" s="224"/>
      <c r="C107" s="190"/>
      <c r="D107" s="190"/>
      <c r="E107" s="190"/>
      <c r="F107" s="190"/>
      <c r="G107" s="190"/>
    </row>
    <row r="110" spans="2:10" ht="12.75" customHeight="1">
      <c r="B110" s="214">
        <f>TradeSols!B110</f>
        <v>0</v>
      </c>
      <c r="C110" s="221"/>
      <c r="D110" s="221"/>
      <c r="E110" s="221"/>
      <c r="F110" s="221"/>
      <c r="G110" s="221"/>
      <c r="H110" s="221"/>
      <c r="I110" s="221"/>
    </row>
    <row r="111" spans="2:10">
      <c r="B111" s="222"/>
      <c r="C111" s="221"/>
      <c r="D111" s="221"/>
      <c r="E111" s="221"/>
      <c r="F111" s="221"/>
      <c r="G111" s="221"/>
      <c r="H111" s="221"/>
      <c r="I111" s="221"/>
    </row>
    <row r="113" spans="2:9" ht="12.75" customHeight="1">
      <c r="B113" s="210">
        <f>TradeSols!B113</f>
        <v>0</v>
      </c>
      <c r="C113" s="211"/>
      <c r="D113" s="211"/>
      <c r="E113" s="211"/>
      <c r="F113" s="211"/>
      <c r="G113" s="211"/>
      <c r="H113" s="211"/>
    </row>
    <row r="114" spans="2:9" ht="12.75" customHeight="1">
      <c r="B114" s="210">
        <f>TradeSols!B114</f>
        <v>0</v>
      </c>
      <c r="C114" s="211"/>
      <c r="D114" s="211"/>
      <c r="E114" s="211"/>
      <c r="F114" s="211"/>
      <c r="G114" s="211"/>
    </row>
    <row r="115" spans="2:9" ht="12.75" customHeight="1">
      <c r="B115" s="210">
        <f>TradeSols!B115</f>
        <v>0</v>
      </c>
      <c r="C115" s="211"/>
      <c r="D115" s="211"/>
      <c r="E115" s="211"/>
      <c r="F115" s="211"/>
      <c r="G115" s="211"/>
      <c r="H115" s="211"/>
    </row>
    <row r="116" spans="2:9" ht="12.75" customHeight="1">
      <c r="B116" s="210">
        <f>TradeSols!B116</f>
        <v>0</v>
      </c>
      <c r="C116" s="212"/>
      <c r="D116" s="212"/>
      <c r="E116" s="212"/>
      <c r="F116" s="212"/>
    </row>
    <row r="117" spans="2:9">
      <c r="B117" s="74"/>
      <c r="C117" s="74"/>
      <c r="D117" s="74"/>
      <c r="E117" s="74"/>
      <c r="F117" s="74"/>
    </row>
    <row r="118" spans="2:9" ht="12.75" customHeight="1">
      <c r="B118" s="210">
        <f>TradeSols!B118</f>
        <v>0</v>
      </c>
      <c r="C118" s="211"/>
      <c r="D118" s="211"/>
      <c r="E118" s="211"/>
      <c r="F118" s="211"/>
      <c r="G118" s="211"/>
      <c r="H118" s="211"/>
    </row>
    <row r="119" spans="2:9" ht="12.75" customHeight="1">
      <c r="B119" s="210">
        <f>TradeSols!B119</f>
        <v>0</v>
      </c>
      <c r="C119" s="213"/>
      <c r="D119" s="213"/>
      <c r="E119" s="213"/>
      <c r="F119" s="213"/>
      <c r="G119" s="213"/>
      <c r="H119" s="213"/>
    </row>
    <row r="120" spans="2:9" ht="12.75" customHeight="1">
      <c r="B120" s="210">
        <f>TradeSols!B120</f>
        <v>0</v>
      </c>
      <c r="C120" s="190"/>
      <c r="D120" s="190"/>
      <c r="E120" s="190"/>
      <c r="F120" s="190"/>
      <c r="G120" s="190"/>
      <c r="H120" s="190"/>
    </row>
    <row r="121" spans="2:9">
      <c r="B121" s="212">
        <f>TradeSols!B121</f>
        <v>0</v>
      </c>
      <c r="C121" s="212"/>
      <c r="D121" s="212"/>
      <c r="E121" s="212"/>
      <c r="F121" s="212"/>
    </row>
    <row r="123" spans="2:9" ht="12.75" customHeight="1">
      <c r="B123" s="210">
        <f>TradeSols!B123</f>
        <v>0</v>
      </c>
      <c r="C123" s="190"/>
      <c r="D123" s="190"/>
      <c r="E123" s="190"/>
      <c r="F123" s="190"/>
      <c r="G123" s="190"/>
      <c r="H123" s="190"/>
    </row>
    <row r="124" spans="2:9" ht="12.75" customHeight="1">
      <c r="B124" s="210">
        <f>TradeSols!B124</f>
        <v>0</v>
      </c>
      <c r="C124" s="190"/>
      <c r="D124" s="190"/>
      <c r="E124" s="190"/>
      <c r="F124" s="190"/>
      <c r="G124" s="190"/>
      <c r="H124" s="190"/>
      <c r="I124" s="190"/>
    </row>
    <row r="125" spans="2:9" ht="12.75" customHeight="1">
      <c r="B125" s="210">
        <f>TradeSols!B125</f>
        <v>0</v>
      </c>
      <c r="C125" s="211"/>
      <c r="D125" s="211"/>
      <c r="E125" s="211"/>
      <c r="F125" s="211"/>
      <c r="G125" s="211"/>
    </row>
    <row r="126" spans="2:9" ht="12.75" customHeight="1">
      <c r="B126" s="210">
        <f>TradeSols!B126</f>
        <v>0</v>
      </c>
      <c r="C126" s="211"/>
      <c r="D126" s="211"/>
      <c r="E126" s="211"/>
      <c r="F126" s="211"/>
      <c r="G126" s="211"/>
      <c r="H126" s="213"/>
    </row>
    <row r="127" spans="2:9">
      <c r="B127" s="210">
        <f>TradeSols!B127</f>
        <v>0</v>
      </c>
      <c r="C127" s="212"/>
      <c r="D127" s="212"/>
      <c r="E127" s="212"/>
      <c r="F127" s="212"/>
      <c r="G127" s="212"/>
      <c r="H127" s="213"/>
    </row>
    <row r="128" spans="2:9" ht="12.75" customHeight="1">
      <c r="B128" s="210">
        <f>TradeSols!B128</f>
        <v>0</v>
      </c>
      <c r="C128" s="211"/>
      <c r="D128" s="211"/>
      <c r="E128" s="211"/>
      <c r="F128" s="211"/>
      <c r="G128" s="211"/>
      <c r="H128" s="211"/>
      <c r="I128" s="190"/>
    </row>
    <row r="129" spans="2:8" ht="12.75" customHeight="1">
      <c r="B129" s="210">
        <f>TradeSols!B129</f>
        <v>0</v>
      </c>
      <c r="C129" s="211"/>
      <c r="D129" s="211"/>
      <c r="E129" s="211"/>
      <c r="F129" s="211"/>
      <c r="G129" s="211"/>
      <c r="H129" s="211"/>
    </row>
    <row r="131" spans="2:8" ht="16">
      <c r="E131" s="124">
        <f>TradeSols!E131</f>
        <v>0</v>
      </c>
    </row>
  </sheetData>
  <sheetProtection password="CD8E" sheet="1" objects="1" scenarios="1" selectLockedCells="1"/>
  <mergeCells count="32">
    <mergeCell ref="I46:K46"/>
    <mergeCell ref="B48:F50"/>
    <mergeCell ref="B1:G4"/>
    <mergeCell ref="B13:G19"/>
    <mergeCell ref="B113:H113"/>
    <mergeCell ref="B32:E32"/>
    <mergeCell ref="B84:E84"/>
    <mergeCell ref="B77:E77"/>
    <mergeCell ref="B39:E39"/>
    <mergeCell ref="B52:G53"/>
    <mergeCell ref="B57:I58"/>
    <mergeCell ref="I91:K91"/>
    <mergeCell ref="B93:F94"/>
    <mergeCell ref="B102:H104"/>
    <mergeCell ref="B106:G107"/>
    <mergeCell ref="B110:I111"/>
    <mergeCell ref="B129:H129"/>
    <mergeCell ref="B125:G125"/>
    <mergeCell ref="B121:F121"/>
    <mergeCell ref="B116:F116"/>
    <mergeCell ref="B114:G114"/>
    <mergeCell ref="B115:H115"/>
    <mergeCell ref="B118:H118"/>
    <mergeCell ref="B119:H119"/>
    <mergeCell ref="B60:H64"/>
    <mergeCell ref="B128:I128"/>
    <mergeCell ref="B120:H120"/>
    <mergeCell ref="B123:H123"/>
    <mergeCell ref="B124:I124"/>
    <mergeCell ref="B127:H127"/>
    <mergeCell ref="B126:H126"/>
    <mergeCell ref="B96:J97"/>
  </mergeCells>
  <phoneticPr fontId="8" type="noConversion"/>
  <conditionalFormatting sqref="B21:K95 B98:K111 B96 K96:K97">
    <cfRule type="cellIs" dxfId="36" priority="3" operator="equal">
      <formula>"Incorrect"</formula>
    </cfRule>
    <cfRule type="cellIs" dxfId="35" priority="4" operator="equal">
      <formula>"Correct"</formula>
    </cfRule>
    <cfRule type="cellIs" dxfId="34" priority="5" operator="equal">
      <formula>0</formula>
    </cfRule>
  </conditionalFormatting>
  <conditionalFormatting sqref="B13:K95 B98:K133 B96 K96:K97">
    <cfRule type="beginsWith" dxfId="33" priority="1" operator="beginsWith" text="Incorrect">
      <formula>LEFT(B13,LEN("Incorrect"))="Incorrect"</formula>
    </cfRule>
  </conditionalFormatting>
  <pageMargins left="0.75" right="0.75" top="1" bottom="1" header="0.5" footer="0.5"/>
  <pageSetup orientation="portrait" horizontalDpi="200" verticalDpi="200"/>
  <headerFooter alignWithMargins="0"/>
  <drawing r:id="rId1"/>
  <legacyDrawing r:id="rId2"/>
  <oleObjects>
    <mc:AlternateContent xmlns:mc="http://schemas.openxmlformats.org/markup-compatibility/2006">
      <mc:Choice Requires="x14">
        <oleObject progId="word.document.8" dvAspect="DVASPECT_ICON" shapeId="50198" r:id="rId3">
          <objectPr locked="0" defaultSize="0" autoPict="0" r:id="rId4">
            <anchor moveWithCells="1">
              <from>
                <xdr:col>6</xdr:col>
                <xdr:colOff>622300</xdr:colOff>
                <xdr:row>6</xdr:row>
                <xdr:rowOff>0</xdr:rowOff>
              </from>
              <to>
                <xdr:col>8</xdr:col>
                <xdr:colOff>177800</xdr:colOff>
                <xdr:row>10</xdr:row>
                <xdr:rowOff>76200</xdr:rowOff>
              </to>
            </anchor>
          </objectPr>
        </oleObject>
      </mc:Choice>
      <mc:Fallback>
        <oleObject progId="word.document.8" dvAspect="DVASPECT_ICON" shapeId="50198" r:id="rId3"/>
      </mc:Fallback>
    </mc:AlternateContent>
  </oleObjects>
  <mc:AlternateContent xmlns:mc="http://schemas.openxmlformats.org/markup-compatibility/2006">
    <mc:Choice Requires="x14">
      <controls>
        <mc:AlternateContent xmlns:mc="http://schemas.openxmlformats.org/markup-compatibility/2006">
          <mc:Choice Requires="x14">
            <control shapeId="50184" r:id="rId5" name="Drop Down 8">
              <controlPr defaultSize="0" autoLine="0" autoPict="0">
                <anchor moveWithCells="1">
                  <from>
                    <xdr:col>6</xdr:col>
                    <xdr:colOff>0</xdr:colOff>
                    <xdr:row>48</xdr:row>
                    <xdr:rowOff>101600</xdr:rowOff>
                  </from>
                  <to>
                    <xdr:col>8</xdr:col>
                    <xdr:colOff>101600</xdr:colOff>
                    <xdr:row>50</xdr:row>
                    <xdr:rowOff>12700</xdr:rowOff>
                  </to>
                </anchor>
              </controlPr>
            </control>
          </mc:Choice>
          <mc:Fallback/>
        </mc:AlternateContent>
        <mc:AlternateContent xmlns:mc="http://schemas.openxmlformats.org/markup-compatibility/2006">
          <mc:Choice Requires="x14">
            <control shapeId="50185" r:id="rId6" name="Drop Down 9">
              <controlPr defaultSize="0" autoLine="0" autoPict="0">
                <anchor moveWithCells="1">
                  <from>
                    <xdr:col>5</xdr:col>
                    <xdr:colOff>889000</xdr:colOff>
                    <xdr:row>54</xdr:row>
                    <xdr:rowOff>12700</xdr:rowOff>
                  </from>
                  <to>
                    <xdr:col>7</xdr:col>
                    <xdr:colOff>482600</xdr:colOff>
                    <xdr:row>55</xdr:row>
                    <xdr:rowOff>50800</xdr:rowOff>
                  </to>
                </anchor>
              </controlPr>
            </control>
          </mc:Choice>
          <mc:Fallback/>
        </mc:AlternateContent>
        <mc:AlternateContent xmlns:mc="http://schemas.openxmlformats.org/markup-compatibility/2006">
          <mc:Choice Requires="x14">
            <control shapeId="50192" r:id="rId7" name="Spinner 16">
              <controlPr defaultSize="0" autoPict="0">
                <anchor moveWithCells="1" sizeWithCells="1">
                  <from>
                    <xdr:col>7</xdr:col>
                    <xdr:colOff>139700</xdr:colOff>
                    <xdr:row>44</xdr:row>
                    <xdr:rowOff>50800</xdr:rowOff>
                  </from>
                  <to>
                    <xdr:col>7</xdr:col>
                    <xdr:colOff>292100</xdr:colOff>
                    <xdr:row>46</xdr:row>
                    <xdr:rowOff>25400</xdr:rowOff>
                  </to>
                </anchor>
              </controlPr>
            </control>
          </mc:Choice>
          <mc:Fallback/>
        </mc:AlternateContent>
        <mc:AlternateContent xmlns:mc="http://schemas.openxmlformats.org/markup-compatibility/2006">
          <mc:Choice Requires="x14">
            <control shapeId="50193" r:id="rId8" name="Spinner 17">
              <controlPr defaultSize="0" autoPict="0">
                <anchor moveWithCells="1" sizeWithCells="1">
                  <from>
                    <xdr:col>7</xdr:col>
                    <xdr:colOff>139700</xdr:colOff>
                    <xdr:row>89</xdr:row>
                    <xdr:rowOff>114300</xdr:rowOff>
                  </from>
                  <to>
                    <xdr:col>7</xdr:col>
                    <xdr:colOff>292100</xdr:colOff>
                    <xdr:row>91</xdr:row>
                    <xdr:rowOff>88900</xdr:rowOff>
                  </to>
                </anchor>
              </controlPr>
            </control>
          </mc:Choice>
          <mc:Fallback/>
        </mc:AlternateContent>
        <mc:AlternateContent xmlns:mc="http://schemas.openxmlformats.org/markup-compatibility/2006">
          <mc:Choice Requires="x14">
            <control shapeId="50194" r:id="rId9" name="Drop Down 18">
              <controlPr defaultSize="0" autoLine="0" autoPict="0">
                <anchor moveWithCells="1">
                  <from>
                    <xdr:col>5</xdr:col>
                    <xdr:colOff>787400</xdr:colOff>
                    <xdr:row>93</xdr:row>
                    <xdr:rowOff>25400</xdr:rowOff>
                  </from>
                  <to>
                    <xdr:col>7</xdr:col>
                    <xdr:colOff>152400</xdr:colOff>
                    <xdr:row>94</xdr:row>
                    <xdr:rowOff>88900</xdr:rowOff>
                  </to>
                </anchor>
              </controlPr>
            </control>
          </mc:Choice>
          <mc:Fallback/>
        </mc:AlternateContent>
        <mc:AlternateContent xmlns:mc="http://schemas.openxmlformats.org/markup-compatibility/2006">
          <mc:Choice Requires="x14">
            <control shapeId="50195" r:id="rId10" name="Drop Down 19">
              <controlPr defaultSize="0" autoLine="0" autoPict="0">
                <anchor moveWithCells="1">
                  <from>
                    <xdr:col>5</xdr:col>
                    <xdr:colOff>800100</xdr:colOff>
                    <xdr:row>99</xdr:row>
                    <xdr:rowOff>25400</xdr:rowOff>
                  </from>
                  <to>
                    <xdr:col>7</xdr:col>
                    <xdr:colOff>190500</xdr:colOff>
                    <xdr:row>100</xdr:row>
                    <xdr:rowOff>50800</xdr:rowOff>
                  </to>
                </anchor>
              </controlPr>
            </control>
          </mc:Choice>
          <mc:Fallback/>
        </mc:AlternateContent>
        <mc:AlternateContent xmlns:mc="http://schemas.openxmlformats.org/markup-compatibility/2006">
          <mc:Choice Requires="x14">
            <control shapeId="50196" r:id="rId11" name="Drop Down 20">
              <controlPr defaultSize="0" autoLine="0" autoPict="0">
                <anchor moveWithCells="1">
                  <from>
                    <xdr:col>5</xdr:col>
                    <xdr:colOff>114300</xdr:colOff>
                    <xdr:row>107</xdr:row>
                    <xdr:rowOff>76200</xdr:rowOff>
                  </from>
                  <to>
                    <xdr:col>6</xdr:col>
                    <xdr:colOff>558800</xdr:colOff>
                    <xdr:row>108</xdr:row>
                    <xdr:rowOff>127000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dimension ref="A1:U131"/>
  <sheetViews>
    <sheetView workbookViewId="0"/>
  </sheetViews>
  <sheetFormatPr baseColWidth="10" defaultColWidth="8.83203125" defaultRowHeight="13" x14ac:dyDescent="0"/>
  <cols>
    <col min="1" max="1" width="8.83203125" style="15"/>
    <col min="2" max="2" width="16.33203125" style="47" bestFit="1" customWidth="1"/>
    <col min="3" max="3" width="15.5" style="47" bestFit="1" customWidth="1"/>
    <col min="4" max="5" width="8.83203125" style="47"/>
    <col min="6" max="6" width="25.5" style="47" customWidth="1"/>
    <col min="7" max="8" width="8.83203125" style="47"/>
  </cols>
  <sheetData>
    <row r="1" spans="1:12" ht="12.75" customHeight="1">
      <c r="B1" s="228" t="s">
        <v>79</v>
      </c>
      <c r="C1" s="228"/>
      <c r="D1" s="228"/>
      <c r="E1" s="228"/>
      <c r="F1" s="228"/>
      <c r="G1" s="228"/>
      <c r="H1" s="47" t="s">
        <v>28</v>
      </c>
      <c r="I1" s="12">
        <f>MEDIAN($C$7:$C$11)</f>
        <v>48.9</v>
      </c>
      <c r="K1">
        <v>82.1</v>
      </c>
      <c r="L1">
        <v>89</v>
      </c>
    </row>
    <row r="2" spans="1:12">
      <c r="B2" s="228"/>
      <c r="C2" s="228"/>
      <c r="D2" s="228"/>
      <c r="E2" s="228"/>
      <c r="F2" s="228"/>
      <c r="G2" s="228"/>
      <c r="H2" s="47" t="s">
        <v>29</v>
      </c>
      <c r="I2" s="12">
        <f>MAX($C$7:$C$11)</f>
        <v>82.1</v>
      </c>
      <c r="K2">
        <v>65.2</v>
      </c>
      <c r="L2">
        <v>70.5</v>
      </c>
    </row>
    <row r="3" spans="1:12">
      <c r="B3" s="228"/>
      <c r="C3" s="228"/>
      <c r="D3" s="228"/>
      <c r="E3" s="228"/>
      <c r="F3" s="228"/>
      <c r="G3" s="228"/>
      <c r="H3" s="47" t="s">
        <v>30</v>
      </c>
      <c r="I3" s="12">
        <f>MIN($C$7:$C$11)</f>
        <v>14.5</v>
      </c>
      <c r="K3">
        <v>48.9</v>
      </c>
      <c r="L3">
        <v>60.1</v>
      </c>
    </row>
    <row r="4" spans="1:12">
      <c r="B4" s="228"/>
      <c r="C4" s="228"/>
      <c r="D4" s="228"/>
      <c r="E4" s="228"/>
      <c r="F4" s="228"/>
      <c r="G4" s="228"/>
      <c r="I4" s="12"/>
    </row>
    <row r="5" spans="1:12">
      <c r="K5">
        <v>31</v>
      </c>
      <c r="L5">
        <v>38.700000000000003</v>
      </c>
    </row>
    <row r="6" spans="1:12" ht="12.75" customHeight="1">
      <c r="B6" s="75" t="s">
        <v>24</v>
      </c>
      <c r="C6" s="76" t="s">
        <v>84</v>
      </c>
      <c r="E6" s="75" t="s">
        <v>25</v>
      </c>
      <c r="F6" s="76" t="s">
        <v>63</v>
      </c>
      <c r="K6">
        <v>14.5</v>
      </c>
      <c r="L6">
        <v>22.3</v>
      </c>
    </row>
    <row r="7" spans="1:12">
      <c r="B7" s="47" t="s">
        <v>14</v>
      </c>
      <c r="C7" s="77">
        <f>IF(OR($K$8=0,$K$8=1),K1,IF(OR($K$8=2,$K$8=3),K3,IF(OR($K$8=4,$K$8=5),K6,IF(OR($K$8=6,$K$8=7),K5,K2))))</f>
        <v>48.9</v>
      </c>
      <c r="D7" s="77">
        <f>IF(OR($K$8=0,$K$8=1),L1,IF(OR($K$8=2,$K$8=3),L3,IF(OR($K$8=4,$K$8=5),L6,IF(OR($K$8=6,$K$8=7),L5,L2))))</f>
        <v>60.1</v>
      </c>
      <c r="E7" s="47" t="s">
        <v>18</v>
      </c>
      <c r="F7" s="77">
        <f>D7</f>
        <v>60.1</v>
      </c>
      <c r="I7" s="19"/>
    </row>
    <row r="8" spans="1:12">
      <c r="B8" s="47" t="s">
        <v>19</v>
      </c>
      <c r="C8" s="77">
        <f>IF(OR($K$8=0,$K$8=1),K2,IF(OR($K$8=2,$K$8=3),K5,IF(OR($K$8=4,$K$8=5),K1,IF(OR($K$8=6,$K$8=7),K3,K6))))</f>
        <v>31</v>
      </c>
      <c r="D8" s="77">
        <f>IF(OR($K$8=0,$K$8=1),L2,IF(OR($K$8=2,$K$8=3),L5,IF(OR($K$8=4,$K$8=5),L1,IF(OR($K$8=6,$K$8=7),L3,L6))))</f>
        <v>38.700000000000003</v>
      </c>
      <c r="E8" s="47" t="s">
        <v>22</v>
      </c>
      <c r="F8" s="77">
        <f>D8</f>
        <v>38.700000000000003</v>
      </c>
      <c r="K8">
        <f>VALUE(RIGHT(ID!C29+ID!D29+ID!G6+ID!H6+ID!I6))</f>
        <v>3</v>
      </c>
    </row>
    <row r="9" spans="1:12">
      <c r="B9" s="47" t="s">
        <v>20</v>
      </c>
      <c r="C9" s="77">
        <f>IF(OR($K$8=0,$K$8=1),K3,IF(OR($K$8=2,$K$8=3),K6,IF(OR($K$8=4,$K$8=5),K2,IF(OR($K$8=6,$K$8=7),K2,K5))))</f>
        <v>14.5</v>
      </c>
      <c r="D9" s="77">
        <f>IF(OR($K$8=0,$K$8=1),L3,IF(OR($K$8=2,$K$8=3),L6,IF(OR($K$8=4,$K$8=5),L2,IF(OR($K$8=6,$K$8=7),L2,L5))))</f>
        <v>22.3</v>
      </c>
      <c r="E9" s="47" t="s">
        <v>15</v>
      </c>
      <c r="F9" s="77">
        <f>D9</f>
        <v>22.3</v>
      </c>
    </row>
    <row r="10" spans="1:12">
      <c r="B10" s="47" t="s">
        <v>21</v>
      </c>
      <c r="C10" s="77">
        <f>IF(OR($K$8=0,$K$8=1),K5,IF(OR($K$8=2,$K$8=3),K1,IF(OR($K$8=4,$K$8=5),K3,IF(OR($K$8=6,$K$8=7),K1,K3))))</f>
        <v>82.1</v>
      </c>
      <c r="D10" s="77">
        <f>IF(OR($K$8=0,$K$8=1),L5,IF(OR($K$8=2,$K$8=3),L1,IF(OR($K$8=4,$K$8=5),L3,IF(OR($K$8=6,$K$8=7),L1,L3))))</f>
        <v>89</v>
      </c>
      <c r="E10" s="47" t="s">
        <v>16</v>
      </c>
      <c r="F10" s="77">
        <f>D10</f>
        <v>89</v>
      </c>
    </row>
    <row r="11" spans="1:12">
      <c r="B11" s="47" t="s">
        <v>23</v>
      </c>
      <c r="C11" s="77">
        <f>IF(OR($K$8=0,$K$8=1),K6,IF(OR($K$8=2,$K$8=3),K2,IF(OR($K$8=4,$K$8=5),K5,IF(OR($K$8=6,$K$8=7),K6,K1))))</f>
        <v>65.2</v>
      </c>
      <c r="D11" s="77">
        <f>IF(OR($K$8=0,$K$8=1),L6,IF(OR($K$8=2,$K$8=3),L2,IF(OR($K$8=4,$K$8=5),L5,IF(OR($K$8=6,$K$8=7),L6,L1))))</f>
        <v>70.5</v>
      </c>
      <c r="E11" s="47" t="s">
        <v>17</v>
      </c>
      <c r="F11" s="77">
        <f>D11</f>
        <v>70.5</v>
      </c>
    </row>
    <row r="13" spans="1:12" ht="12.75" customHeight="1">
      <c r="A13" s="15" t="s">
        <v>31</v>
      </c>
      <c r="B13" s="228" t="s">
        <v>80</v>
      </c>
      <c r="C13" s="228"/>
      <c r="D13" s="228"/>
      <c r="E13" s="228"/>
      <c r="F13" s="228"/>
      <c r="G13" s="228"/>
    </row>
    <row r="14" spans="1:12">
      <c r="B14" s="228"/>
      <c r="C14" s="228"/>
      <c r="D14" s="228"/>
      <c r="E14" s="228"/>
      <c r="F14" s="228"/>
      <c r="G14" s="228"/>
    </row>
    <row r="15" spans="1:12">
      <c r="B15" s="228"/>
      <c r="C15" s="228"/>
      <c r="D15" s="228"/>
      <c r="E15" s="228"/>
      <c r="F15" s="228"/>
      <c r="G15" s="228"/>
    </row>
    <row r="16" spans="1:12">
      <c r="B16" s="228"/>
      <c r="C16" s="228"/>
      <c r="D16" s="228"/>
      <c r="E16" s="228"/>
      <c r="F16" s="228"/>
      <c r="G16" s="228"/>
    </row>
    <row r="17" spans="1:11">
      <c r="B17" s="228"/>
      <c r="C17" s="228"/>
      <c r="D17" s="228"/>
      <c r="E17" s="228"/>
      <c r="F17" s="228"/>
      <c r="G17" s="228"/>
    </row>
    <row r="18" spans="1:11">
      <c r="B18" s="228"/>
      <c r="C18" s="228"/>
      <c r="D18" s="228"/>
      <c r="E18" s="228"/>
      <c r="F18" s="228"/>
      <c r="G18" s="228"/>
    </row>
    <row r="19" spans="1:11">
      <c r="B19" s="228"/>
      <c r="C19" s="228"/>
      <c r="D19" s="228"/>
      <c r="E19" s="228"/>
      <c r="F19" s="228"/>
      <c r="G19" s="228"/>
    </row>
    <row r="20" spans="1:11">
      <c r="C20" s="77"/>
      <c r="D20" s="77"/>
      <c r="F20" s="77"/>
    </row>
    <row r="21" spans="1:11">
      <c r="B21" s="75" t="s">
        <v>296</v>
      </c>
      <c r="C21" s="77"/>
      <c r="D21" s="77"/>
      <c r="F21" s="77"/>
      <c r="I21" s="1" t="s">
        <v>265</v>
      </c>
    </row>
    <row r="22" spans="1:11">
      <c r="B22" s="75" t="s">
        <v>297</v>
      </c>
      <c r="C22" s="77"/>
      <c r="D22" s="77"/>
      <c r="F22" s="77"/>
      <c r="I22" s="1" t="s">
        <v>299</v>
      </c>
    </row>
    <row r="23" spans="1:11" ht="14" thickBot="1">
      <c r="B23" s="75" t="s">
        <v>298</v>
      </c>
      <c r="C23" s="77"/>
      <c r="D23" s="77"/>
      <c r="F23" s="77"/>
      <c r="I23" s="1" t="s">
        <v>300</v>
      </c>
    </row>
    <row r="24" spans="1:11" ht="14" thickBot="1">
      <c r="B24" s="78" t="s">
        <v>18</v>
      </c>
      <c r="C24" s="79"/>
      <c r="D24" s="77">
        <f>IF(F24=0,0,IF(AND(E24=F24,NOT(F24=0)),"Correct","Incorrect"))</f>
        <v>0</v>
      </c>
      <c r="E24" s="79" t="str">
        <f>IF(OR($K$8=0,$K$8=1),"O",IF(OR($K$8=2,$K$8=3),"E",IF(OR($K$8=4,$K$8=5),"E",IF(OR($K$8=6,$K$8=7),"B","E"))))</f>
        <v>E</v>
      </c>
      <c r="F24" s="112">
        <f>Trade!C24</f>
        <v>0</v>
      </c>
      <c r="G24" s="47">
        <f>IF(OR($K$8=4,$K$8=5),"O",0)</f>
        <v>0</v>
      </c>
      <c r="H24" s="113">
        <f>Trade!I24</f>
        <v>0</v>
      </c>
      <c r="I24" t="s">
        <v>14</v>
      </c>
      <c r="K24" s="12" t="str">
        <f>IF(G24=H24,"Correct","Incorrect")</f>
        <v>Correct</v>
      </c>
    </row>
    <row r="25" spans="1:11" ht="14" thickBot="1">
      <c r="B25" s="78" t="s">
        <v>22</v>
      </c>
      <c r="C25" s="79"/>
      <c r="D25" s="77">
        <f>IF(F25=0,0,IF(AND(E25=F25,NOT(F25=0)),"Correct","Incorrect"))</f>
        <v>0</v>
      </c>
      <c r="E25" s="79" t="str">
        <f>IF(OR($K$8=0,$K$8=1),"A",IF(OR($K$8=2,$K$8=3),"A",IF(OR($K$8=4,$K$8=5),"O",IF(OR($K$8=6,$K$8=7),"C","C"))))</f>
        <v>A</v>
      </c>
      <c r="F25" s="112">
        <f>Trade!C25</f>
        <v>0</v>
      </c>
      <c r="G25" s="47">
        <f>IF(OR($K$8=8,$K$8=9),"O",0)</f>
        <v>0</v>
      </c>
      <c r="H25" s="113">
        <f>Trade!I25</f>
        <v>0</v>
      </c>
      <c r="I25" t="s">
        <v>19</v>
      </c>
      <c r="K25" s="12" t="str">
        <f>IF(G25=H25,"Correct","Incorrect")</f>
        <v>Correct</v>
      </c>
    </row>
    <row r="26" spans="1:11" ht="14" thickBot="1">
      <c r="B26" s="78" t="s">
        <v>15</v>
      </c>
      <c r="C26" s="79"/>
      <c r="D26" s="77">
        <f>IF(F26=0,0,IF(AND(E26=F26,NOT(F26=0)),"Correct","Incorrect"))</f>
        <v>0</v>
      </c>
      <c r="E26" s="79" t="str">
        <f>IF(OR($K$8=0,$K$8=1),"B",IF(OR($K$8=2,$K$8=3),"B",IF(OR($K$8=4,$K$8=5),"B",IF(OR($K$8=6,$K$8=7),"D","D"))))</f>
        <v>B</v>
      </c>
      <c r="F26" s="112">
        <f>Trade!C26</f>
        <v>0</v>
      </c>
      <c r="G26" s="47" t="str">
        <f>IF(OR($K$8=2,$K$8=3),"O",0)</f>
        <v>O</v>
      </c>
      <c r="H26" s="113">
        <f>Trade!I26</f>
        <v>0</v>
      </c>
      <c r="I26" t="s">
        <v>20</v>
      </c>
      <c r="K26" s="12" t="str">
        <f>IF(G26=H26,"Correct","Incorrect")</f>
        <v>Incorrect</v>
      </c>
    </row>
    <row r="27" spans="1:11" ht="14" thickBot="1">
      <c r="B27" s="78" t="s">
        <v>16</v>
      </c>
      <c r="C27" s="79"/>
      <c r="D27" s="77">
        <f>IF(F27=0,0,IF(AND(E27=F27,NOT(F27=0)),"Correct","Incorrect"))</f>
        <v>0</v>
      </c>
      <c r="E27" s="79" t="str">
        <f>IF(OR($K$8=0,$K$8=1),"C",IF(OR($K$8=2,$K$8=3),"O",IF(OR($K$8=4,$K$8=5),"C",IF(OR($K$8=6,$K$8=7),"O","A"))))</f>
        <v>O</v>
      </c>
      <c r="F27" s="112">
        <f>Trade!C27</f>
        <v>0</v>
      </c>
      <c r="G27" s="47">
        <v>0</v>
      </c>
      <c r="H27" s="113">
        <f>Trade!I27</f>
        <v>0</v>
      </c>
      <c r="I27" t="s">
        <v>21</v>
      </c>
      <c r="K27" s="12" t="str">
        <f>IF(G27=H27,"Correct","Incorrect")</f>
        <v>Correct</v>
      </c>
    </row>
    <row r="28" spans="1:11" ht="14" thickBot="1">
      <c r="B28" s="78" t="s">
        <v>17</v>
      </c>
      <c r="C28" s="79"/>
      <c r="D28" s="77">
        <f>IF(F28=0,0,IF(AND(E28=F28,NOT(F28=0)),"Correct","Incorrect"))</f>
        <v>0</v>
      </c>
      <c r="E28" s="79" t="str">
        <f>IF(OR($K$8=0,$K$8=1),"D",IF(OR($K$8=2,$K$8=3),"D",IF(OR($K$8=4,$K$8=5),"D",IF(OR($K$8=6,$K$8=7),"A","O"))))</f>
        <v>D</v>
      </c>
      <c r="F28" s="112">
        <f>Trade!C28</f>
        <v>0</v>
      </c>
      <c r="G28" s="47">
        <f>IF(OR($K$8=0,$K$8=1,$K$8=6,$K$8=7),"O",0)</f>
        <v>0</v>
      </c>
      <c r="H28" s="113">
        <f>Trade!I28</f>
        <v>0</v>
      </c>
      <c r="I28" t="s">
        <v>23</v>
      </c>
      <c r="K28" s="12" t="str">
        <f>IF(G28=H28,"Correct","Incorrect")</f>
        <v>Correct</v>
      </c>
    </row>
    <row r="30" spans="1:11">
      <c r="A30"/>
      <c r="B30" s="47" t="s">
        <v>309</v>
      </c>
    </row>
    <row r="31" spans="1:11">
      <c r="A31"/>
    </row>
    <row r="32" spans="1:11">
      <c r="A32"/>
      <c r="B32" s="230" t="s">
        <v>81</v>
      </c>
      <c r="C32" s="230"/>
      <c r="D32" s="230"/>
      <c r="E32" s="230"/>
      <c r="F32" s="80"/>
    </row>
    <row r="33" spans="1:15">
      <c r="A33"/>
      <c r="B33" s="81" t="s">
        <v>82</v>
      </c>
      <c r="C33" s="81" t="s">
        <v>83</v>
      </c>
      <c r="D33" s="81" t="s">
        <v>84</v>
      </c>
      <c r="E33" s="81" t="s">
        <v>85</v>
      </c>
      <c r="F33" s="81" t="s">
        <v>86</v>
      </c>
    </row>
    <row r="34" spans="1:15">
      <c r="A34"/>
      <c r="B34" s="82">
        <f>IF(AND(D28="Correct",OR($K$8=0,$K$8=1)),B10,IF(AND(D26="Correct",OR($K$8=2,$K$8=3)),B8,IF(AND(D24="Correct",OR($K$8=4,$K$8=5)),B11,IF(AND(D28="Correct",OR($K$8=6,$K$8=7)),B7,IF(AND(D25="Correct",OR($K$8=8,$K$8=9)),B9,0)))))</f>
        <v>0</v>
      </c>
      <c r="C34" s="82">
        <f>IF(AND(D28="Correct",OR($K$8=0,$K$8=1)),E11,IF(AND(D26="Correct",OR($K$8=2,$K$8=3)),E9,IF(AND(D24="Correct",OR($K$8=4,$K$8=5)),E7,IF(AND(D28="Correct",OR($K$8=6,$K$8=7)),E11,IF(AND(D25="Correct",OR($K$8=8,$K$8=9)),E8,0)))))</f>
        <v>0</v>
      </c>
      <c r="D34" s="83">
        <f>IF($C$34=0,0,31)</f>
        <v>0</v>
      </c>
      <c r="E34" s="83">
        <f>IF($C$34=0,0,22.3)</f>
        <v>0</v>
      </c>
      <c r="F34" s="83">
        <f>IF($C$34=0,0,(D34+E34)/2)</f>
        <v>0</v>
      </c>
    </row>
    <row r="35" spans="1:15">
      <c r="A35"/>
      <c r="B35" s="82">
        <f>IF(AND(D27="Correct",OR($K$8=0,$K$8=1)),B9,IF(AND(D25="Correct",OR($K$8=2,$K$8=3)),B7,IF(AND(D28="Correct",OR($K$8=4,$K$8=5)),B10,IF(AND(D24="Correct",OR($K$8=6,$K$8=7)),B8,IF(AND(D26="Correct",OR($K$8=8,$K$8=9)),B10,0)))))</f>
        <v>0</v>
      </c>
      <c r="C35" s="82">
        <f>IF(AND(D27="Correct",OR($K$8=0,$K$8=1)),E10,IF(AND(D25="Correct",OR($K$8=2,$K$8=3)),E8,IF(AND(D28="Correct",OR($K$8=4,$K$8=5)),E11,IF(AND(D24="Correct",OR($K$8=6,$K$8=7)),E7,IF(AND(D26="Correct",OR($K$8=8,$K$8=9)),E9,0)))))</f>
        <v>0</v>
      </c>
      <c r="D35" s="83">
        <f>IF($C$35=0,0,48.9)</f>
        <v>0</v>
      </c>
      <c r="E35" s="83">
        <f>IF($C$35=0,0,38.7)</f>
        <v>0</v>
      </c>
      <c r="F35" s="83">
        <f>IF($C$35=0,0,(D35+E35)/2)</f>
        <v>0</v>
      </c>
    </row>
    <row r="36" spans="1:15">
      <c r="A36"/>
      <c r="B36" s="82">
        <f>IF(AND(D26="Correct",OR($K$8=0,$K$8=1)),B8,IF(AND(D24="Correct",OR($K$8=2,$K$8=3)),B11,IF(AND(D27="Correct",OR($K$8=4,$K$8=5)),B9,IF(AND(D25="Correct",OR($K$8=6,$K$8=7)),B9,IF(AND(D27="Correct",OR($K$8=8,$K$8=9)),B7,0)))))</f>
        <v>0</v>
      </c>
      <c r="C36" s="82">
        <f>IF(AND(D26="Correct",OR($K$8=0,$K$8=1)),E9,IF(AND(D24="Correct",OR($K$8=2,$K$8=3)),E7,IF(AND(D27="Correct",OR($K$8=4,$K$8=5)),E10,IF(AND(D25="Correct",OR($K$8=6,$K$8=7)),E8,IF(AND(D27="Correct",OR($K$8=8,$K$8=9)),E10,0)))))</f>
        <v>0</v>
      </c>
      <c r="D36" s="83">
        <f>IF($C$36=0,0,65.2)</f>
        <v>0</v>
      </c>
      <c r="E36" s="83">
        <f>IF($C$36=0,0,60.1)</f>
        <v>0</v>
      </c>
      <c r="F36" s="83">
        <f>IF($C$36=0,0,(D36+E36)/2)</f>
        <v>0</v>
      </c>
    </row>
    <row r="37" spans="1:15">
      <c r="A37"/>
      <c r="B37" s="82">
        <f>IF(AND(D25="Correct",OR($K$8=0,$K$8=1)),B7,IF(AND(D28="Correct",OR($K$8=2,$K$8=3)),B10,IF(AND(D26="Correct",OR($K$8=4,$K$8=5)),B8,IF(AND(D26="Correct",OR($K$8=6,$K$8=7)),B10,IF(AND(D24="Correct",OR($K$8=8,$K$8=9)),B11,0)))))</f>
        <v>0</v>
      </c>
      <c r="C37" s="82">
        <f>IF(AND(D25="Correct",OR($K$8=0,$K$8=1)),E8,IF(AND(D28="Correct",OR($K$8=2,$K$8=3)),E11,IF(AND(D26="Correct",OR($K$8=4,$K$8=5)),E9,IF(AND(D26="Correct",OR($K$8=6,$K$8=7)),E9,IF(AND(D24="Correct",OR($K$8=8,$K$8=9)),E7,0)))))</f>
        <v>0</v>
      </c>
      <c r="D37" s="83">
        <f>IF($C$37=0,0,82.1)</f>
        <v>0</v>
      </c>
      <c r="E37" s="83">
        <f>IF($C$37=0,0,70.5)</f>
        <v>0</v>
      </c>
      <c r="F37" s="83">
        <f>IF($C$37=0,0,(D37+E37)/2)</f>
        <v>0</v>
      </c>
    </row>
    <row r="38" spans="1:15">
      <c r="A38"/>
    </row>
    <row r="39" spans="1:15">
      <c r="A39"/>
      <c r="B39" s="230" t="s">
        <v>87</v>
      </c>
      <c r="C39" s="230"/>
      <c r="D39" s="230"/>
      <c r="E39" s="230"/>
      <c r="F39" s="80"/>
    </row>
    <row r="40" spans="1:15">
      <c r="A40"/>
      <c r="B40" s="81" t="s">
        <v>82</v>
      </c>
      <c r="C40" s="81" t="s">
        <v>83</v>
      </c>
      <c r="D40" s="81" t="s">
        <v>84</v>
      </c>
      <c r="E40" s="81" t="s">
        <v>85</v>
      </c>
    </row>
    <row r="41" spans="1:15">
      <c r="A41"/>
      <c r="B41" s="82">
        <f>IF(AND(K28="Correct",OR($K$8=0,$K$8=1)),B11,IF(AND(K26="Correct",OR($K$8=2,$K$8=3)),B9,IF(AND(K24="Correct",OR($K$8=4,$K$8=5)),B7,IF(AND(K28="Correct",OR($K$8=6,$K$8=7)),B11,IF(AND(K25="Correct",OR($K$8=8,$K$8=9)),B8,0)))))</f>
        <v>0</v>
      </c>
      <c r="C41" s="82">
        <f>IF(AND(D24="Correct",OR($K$8=0,$K$8=1)),E7,IF(AND(D27="Correct",OR($K$8=2,$K$8=3)),E10,IF(AND(D25="Correct",OR($K$8=4,$K$8=5)),E8,IF(AND(D27="Correct",OR($K$8=6,$K$8=7)),E10,IF(AND(D28="Correct",OR($K$8=8,$K$8=9)),E11,0)))))</f>
        <v>0</v>
      </c>
      <c r="D41" s="83">
        <f>IF($B$41=0,0,14.5)</f>
        <v>0</v>
      </c>
      <c r="E41" s="83">
        <f>IF($C$41=0,0,89)</f>
        <v>0</v>
      </c>
    </row>
    <row r="42" spans="1:15">
      <c r="A42"/>
      <c r="B42" s="82"/>
      <c r="C42" s="82"/>
    </row>
    <row r="45" spans="1:15">
      <c r="O45">
        <v>1</v>
      </c>
    </row>
    <row r="46" spans="1:15">
      <c r="F46" s="76" t="s">
        <v>88</v>
      </c>
      <c r="G46" s="75" t="s">
        <v>89</v>
      </c>
      <c r="I46" s="229" t="str">
        <f>IF(O45=1,CONCATENATE(B34," &amp; ",C34),IF(O45=2,CONCATENATE(B35," &amp; ",C35),IF(O45=3,CONCATENATE(B36," &amp; ",C36),IF(O45=4,CONCATENATE(B37," &amp; ",C37),"Out of the Market"))))</f>
        <v>0 &amp; 0</v>
      </c>
      <c r="J46" s="229"/>
      <c r="K46" s="229"/>
      <c r="L46">
        <f>IF(O45=1,B34,IF(O45=2,B35,IF(O45=3,B36,IF(O45=4,B37,B41))))</f>
        <v>0</v>
      </c>
      <c r="M46">
        <f>IF(O45=1,3,IF(O45=2,2,IF(O45=3,1,IF(O45=4,0,4))))</f>
        <v>3</v>
      </c>
      <c r="N46" s="26">
        <f>IF(O45=1,D34,IF(O45=2,D35,IF(O45=3,D36,IF(O45=4,D37,D41))))</f>
        <v>0</v>
      </c>
    </row>
    <row r="47" spans="1:15">
      <c r="M47">
        <f>M46+1</f>
        <v>4</v>
      </c>
      <c r="N47" s="26">
        <f>N46</f>
        <v>0</v>
      </c>
    </row>
    <row r="48" spans="1:15">
      <c r="B48" s="231">
        <f>IF(NOT(OR(C34=0,C35=0,C36=0,C37=0)),"It is interesting to observe how much price variation there is under this matching scheme.  Is it possible to have these same lessons given at a single price?",0)</f>
        <v>0</v>
      </c>
      <c r="C48" s="231"/>
      <c r="D48" s="231"/>
      <c r="E48" s="231"/>
      <c r="F48" s="231"/>
      <c r="G48" s="113">
        <v>1</v>
      </c>
      <c r="L48">
        <f>IF(O45=1,C34,IF(O45=2,C35,IF(O45=3,C36,IF(O45=4,C37,C41))))</f>
        <v>0</v>
      </c>
      <c r="M48">
        <f>IF(O45=1,0,IF(O45=2,1,IF(O45=3,2,IF(O45=4,3,4))))</f>
        <v>0</v>
      </c>
      <c r="N48" s="26">
        <f>IF(O45=1,E34,IF(O45=2,E35,IF(O45=3,E36,IF(O45=4,E37,E41))))</f>
        <v>0</v>
      </c>
    </row>
    <row r="49" spans="1:14">
      <c r="B49" s="231"/>
      <c r="C49" s="231"/>
      <c r="D49" s="231"/>
      <c r="E49" s="231"/>
      <c r="F49" s="231"/>
      <c r="G49" s="47">
        <v>3</v>
      </c>
      <c r="M49">
        <f>M48+1</f>
        <v>1</v>
      </c>
      <c r="N49" s="26">
        <f>N48</f>
        <v>0</v>
      </c>
    </row>
    <row r="50" spans="1:14">
      <c r="B50" s="84"/>
      <c r="C50" s="84"/>
      <c r="D50" s="84"/>
      <c r="E50" s="84"/>
      <c r="F50" s="84"/>
      <c r="N50" s="26"/>
    </row>
    <row r="51" spans="1:14">
      <c r="L51" t="s">
        <v>90</v>
      </c>
      <c r="M51">
        <v>0</v>
      </c>
      <c r="N51" s="26">
        <f>IF(O45=1,F34,IF(O45=2,F35,IF(O45=3,F36,IF(O45=4,F37,-10))))</f>
        <v>0</v>
      </c>
    </row>
    <row r="52" spans="1:14">
      <c r="B52" s="227">
        <f>IF(OR(B48=0,G48=1),0,IF(G48=G49,CONCATENATE("That is correct.  Because ",B34,"'s value is lower than ",C37,"'s cost, there is no one price at which they both can profitably trade."),"Incorrect.  What price works?"))</f>
        <v>0</v>
      </c>
      <c r="C52" s="227"/>
      <c r="D52" s="227"/>
      <c r="E52" s="227"/>
      <c r="F52" s="227"/>
      <c r="L52" t="s">
        <v>91</v>
      </c>
      <c r="M52">
        <v>6</v>
      </c>
      <c r="N52" s="26">
        <f>N51</f>
        <v>0</v>
      </c>
    </row>
    <row r="53" spans="1:14">
      <c r="B53" s="227"/>
      <c r="C53" s="227"/>
      <c r="D53" s="227"/>
      <c r="E53" s="227"/>
      <c r="F53" s="227"/>
    </row>
    <row r="54" spans="1:14">
      <c r="L54">
        <v>1</v>
      </c>
    </row>
    <row r="55" spans="1:14">
      <c r="B55" s="82">
        <f>IF(AND(NOT(B52=0),G48=G49),"What is the volume of trade under this matching scheme?",0)</f>
        <v>0</v>
      </c>
      <c r="G55" s="113">
        <v>1</v>
      </c>
      <c r="L55">
        <v>2</v>
      </c>
    </row>
    <row r="56" spans="1:14">
      <c r="G56" s="47">
        <v>5</v>
      </c>
      <c r="L56">
        <v>3</v>
      </c>
    </row>
    <row r="57" spans="1:14">
      <c r="B57" s="227">
        <f>IF(OR(B55=0,G55=1),0,IF(G55=G56,"That is correct, but this volume is artificially high.  If students and trainers could shop for the best price, some could get better deals while others wouldn't trade.","Incorrect.  How many pairs of students and trainers are there in the Trades table?"))</f>
        <v>0</v>
      </c>
      <c r="C57" s="227"/>
      <c r="D57" s="227"/>
      <c r="E57" s="227"/>
      <c r="F57" s="227"/>
      <c r="L57">
        <v>4</v>
      </c>
    </row>
    <row r="58" spans="1:14">
      <c r="B58" s="227"/>
      <c r="C58" s="227"/>
      <c r="D58" s="227"/>
      <c r="E58" s="227"/>
      <c r="F58" s="227"/>
      <c r="L58">
        <v>5</v>
      </c>
    </row>
    <row r="60" spans="1:14" ht="12.75" customHeight="1">
      <c r="A60" s="15" t="s">
        <v>43</v>
      </c>
      <c r="B60" s="228">
        <f>IF(B57=0,0,IF(B57="How many pairs of students and trainers are there in the Trades table?",0,K60))</f>
        <v>0</v>
      </c>
      <c r="C60" s="228"/>
      <c r="D60" s="228"/>
      <c r="E60" s="228"/>
      <c r="F60" s="228"/>
      <c r="G60" s="228"/>
      <c r="K60" s="126" t="s">
        <v>301</v>
      </c>
    </row>
    <row r="61" spans="1:14">
      <c r="B61" s="228"/>
      <c r="C61" s="228"/>
      <c r="D61" s="228"/>
      <c r="E61" s="228"/>
      <c r="F61" s="228"/>
      <c r="G61" s="228"/>
    </row>
    <row r="62" spans="1:14">
      <c r="B62" s="228"/>
      <c r="C62" s="228"/>
      <c r="D62" s="228"/>
      <c r="E62" s="228"/>
      <c r="F62" s="228"/>
      <c r="G62" s="228"/>
    </row>
    <row r="63" spans="1:14">
      <c r="B63" s="228"/>
      <c r="C63" s="228"/>
      <c r="D63" s="228"/>
      <c r="E63" s="228"/>
      <c r="F63" s="228"/>
      <c r="G63" s="228"/>
    </row>
    <row r="64" spans="1:14">
      <c r="B64" s="228"/>
      <c r="C64" s="228"/>
      <c r="D64" s="228"/>
      <c r="E64" s="228"/>
      <c r="F64" s="228"/>
      <c r="G64" s="228"/>
    </row>
    <row r="65" spans="2:21">
      <c r="B65" s="85"/>
      <c r="C65" s="85"/>
      <c r="D65" s="85"/>
      <c r="E65" s="85"/>
      <c r="F65" s="85"/>
      <c r="G65" s="85"/>
    </row>
    <row r="66" spans="2:21">
      <c r="B66" s="75" t="s">
        <v>302</v>
      </c>
      <c r="C66" s="77"/>
      <c r="D66" s="77"/>
      <c r="F66" s="77"/>
      <c r="I66" s="1" t="s">
        <v>265</v>
      </c>
    </row>
    <row r="67" spans="2:21">
      <c r="B67" s="75" t="s">
        <v>303</v>
      </c>
      <c r="C67" s="77"/>
      <c r="D67" s="77"/>
      <c r="F67" s="77"/>
      <c r="I67" s="1" t="s">
        <v>299</v>
      </c>
    </row>
    <row r="68" spans="2:21" ht="14" thickBot="1">
      <c r="B68" s="75" t="s">
        <v>304</v>
      </c>
      <c r="C68" s="77"/>
      <c r="D68" s="77"/>
      <c r="F68" s="77"/>
      <c r="I68" s="1" t="s">
        <v>300</v>
      </c>
    </row>
    <row r="69" spans="2:21" ht="14" thickBot="1">
      <c r="B69" s="78" t="s">
        <v>18</v>
      </c>
      <c r="C69" s="79"/>
      <c r="D69" s="77">
        <f>IF(F69=0,0,IF(AND(E69=F69,NOT(F69=0)),"Correct","Incorrect"))</f>
        <v>0</v>
      </c>
      <c r="E69" s="79" t="str">
        <f>IF(OR($K$8=0,$K$8=1),"O",IF(OR($K$8=2,$K$8=3),"O",IF(OR($K$8=4,$K$8=5),"B",IF(OR($K$8=6,$K$8=7),"C","O"))))</f>
        <v>O</v>
      </c>
      <c r="F69" s="112">
        <f>Trade!C69</f>
        <v>0</v>
      </c>
      <c r="G69" s="47" t="str">
        <f>IF(OR($K$8=2,$K$8=3,$K$8=4,$K$8=5,$K$8=6,$K$8=7),"O",0)</f>
        <v>O</v>
      </c>
      <c r="H69" s="113">
        <f>Trade!I69</f>
        <v>0</v>
      </c>
      <c r="I69" t="s">
        <v>14</v>
      </c>
      <c r="K69" s="12" t="str">
        <f>IF(G69=H69,"Correct","Incorrect")</f>
        <v>Incorrect</v>
      </c>
    </row>
    <row r="70" spans="2:21" ht="14" thickBot="1">
      <c r="B70" s="78" t="s">
        <v>22</v>
      </c>
      <c r="C70" s="79"/>
      <c r="D70" s="77">
        <f>IF(F70=0,0,IF(AND(E70=F70,NOT(F70=0)),"Correct","Incorrect"))</f>
        <v>0</v>
      </c>
      <c r="E70" s="79" t="str">
        <f>IF(OR($K$8=0,$K$8=1),"O",IF(OR($K$8=2,$K$8=3),"E",IF(OR($K$8=4,$K$8=5),"O",IF(OR($K$8=6,$K$8=7),"O","E"))))</f>
        <v>E</v>
      </c>
      <c r="F70" s="112">
        <f>Trade!C70</f>
        <v>0</v>
      </c>
      <c r="G70" s="47" t="str">
        <f>IF(OR($K$8=2,$K$8=3,$K$8=6,$K$8=7,$K$8=8,$K$8=9),"O",0)</f>
        <v>O</v>
      </c>
      <c r="H70" s="113">
        <f>Trade!I70</f>
        <v>0</v>
      </c>
      <c r="I70" t="s">
        <v>19</v>
      </c>
      <c r="K70" s="12" t="str">
        <f>IF(G70=H70,"Correct","Incorrect")</f>
        <v>Incorrect</v>
      </c>
    </row>
    <row r="71" spans="2:21" ht="14" thickBot="1">
      <c r="B71" s="78" t="s">
        <v>15</v>
      </c>
      <c r="C71" s="79"/>
      <c r="D71" s="77">
        <f>IF(F71=0,0,IF(AND(E71=F71,NOT(F71=0)),"Correct","Incorrect"))</f>
        <v>0</v>
      </c>
      <c r="E71" s="79" t="str">
        <f>IF(OR($K$8=0,$K$8=1),"O",IF(OR($K$8=2,$K$8=3),"D",IF(OR($K$8=4,$K$8=5),"O",IF(OR($K$8=6,$K$8=7),"O","A"))))</f>
        <v>D</v>
      </c>
      <c r="F71" s="112">
        <f>Trade!C71</f>
        <v>0</v>
      </c>
      <c r="G71" s="47" t="str">
        <f>IF(OR($K$8=0,$K$8=1,$K$8=2,$K$8=3,$K$8=8,$K$8=9),"O",0)</f>
        <v>O</v>
      </c>
      <c r="H71" s="113">
        <f>Trade!I71</f>
        <v>0</v>
      </c>
      <c r="I71" t="s">
        <v>20</v>
      </c>
      <c r="K71" s="12" t="str">
        <f>IF(G71=H71,"Correct","Incorrect")</f>
        <v>Incorrect</v>
      </c>
    </row>
    <row r="72" spans="2:21" ht="14" thickBot="1">
      <c r="B72" s="78" t="s">
        <v>16</v>
      </c>
      <c r="C72" s="79"/>
      <c r="D72" s="77">
        <f>IF(F72=0,0,IF(AND(E72=F72,NOT(F72=0)),"Correct","Incorrect"))</f>
        <v>0</v>
      </c>
      <c r="E72" s="79" t="str">
        <f>IF(OR($K$8=0,$K$8=1),"B",IF(OR($K$8=2,$K$8=3),"O",IF(OR($K$8=4,$K$8=5),"O",IF(OR($K$8=6,$K$8=7),"O","O"))))</f>
        <v>O</v>
      </c>
      <c r="F72" s="112">
        <f>Trade!C72</f>
        <v>0</v>
      </c>
      <c r="G72" s="47">
        <f>IF(OR($K$8=0,$K$8=1,$K$8=4,$K$8=5,$K$8=8,$K$8=9),"O",0)</f>
        <v>0</v>
      </c>
      <c r="H72" s="113">
        <f>Trade!I72</f>
        <v>0</v>
      </c>
      <c r="I72" t="s">
        <v>21</v>
      </c>
      <c r="K72" s="12" t="str">
        <f>IF(G72=H72,"Correct","Incorrect")</f>
        <v>Correct</v>
      </c>
    </row>
    <row r="73" spans="2:21" ht="14" thickBot="1">
      <c r="B73" s="78" t="s">
        <v>17</v>
      </c>
      <c r="C73" s="79"/>
      <c r="D73" s="77">
        <f>IF(F73=0,0,IF(AND(E73=F73,NOT(F73=0)),"Correct","Incorrect"))</f>
        <v>0</v>
      </c>
      <c r="E73" s="79" t="str">
        <f>IF(OR($K$8=0,$K$8=1),"A",IF(OR($K$8=2,$K$8=3),"O",IF(OR($K$8=4,$K$8=5),"C",IF(OR($K$8=6,$K$8=7),"D","O"))))</f>
        <v>O</v>
      </c>
      <c r="F73" s="112">
        <f>Trade!C73</f>
        <v>0</v>
      </c>
      <c r="G73" s="47">
        <f>IF(OR($K$8=0,$K$8=1,$K$8=4,$K$8=5,$K$8=6,$K$8=7),"O",0)</f>
        <v>0</v>
      </c>
      <c r="H73" s="113">
        <f>Trade!I73</f>
        <v>0</v>
      </c>
      <c r="I73" t="s">
        <v>23</v>
      </c>
      <c r="K73" s="12" t="str">
        <f>IF(G73=H73,"Correct","Incorrect")</f>
        <v>Correct</v>
      </c>
      <c r="R73" s="1" t="s">
        <v>44</v>
      </c>
    </row>
    <row r="74" spans="2:21">
      <c r="B74" s="86"/>
      <c r="C74" s="86"/>
      <c r="D74" s="86"/>
      <c r="E74" s="86"/>
      <c r="F74" s="86"/>
      <c r="G74" s="86"/>
      <c r="H74" s="86"/>
      <c r="I74" s="15"/>
      <c r="J74" s="15"/>
      <c r="K74" s="15"/>
      <c r="S74" s="12">
        <f>(90*T74+10*(100-T74))/100</f>
        <v>30</v>
      </c>
      <c r="T74">
        <v>25</v>
      </c>
    </row>
    <row r="75" spans="2:21">
      <c r="B75" s="47" t="s">
        <v>92</v>
      </c>
    </row>
    <row r="76" spans="2:21">
      <c r="S76" s="12"/>
    </row>
    <row r="77" spans="2:21">
      <c r="B77" s="230" t="s">
        <v>81</v>
      </c>
      <c r="C77" s="230"/>
      <c r="D77" s="230"/>
      <c r="E77" s="230"/>
      <c r="F77" s="80"/>
      <c r="Q77" s="12">
        <f>E34</f>
        <v>0</v>
      </c>
      <c r="R77">
        <v>0</v>
      </c>
      <c r="S77" s="12">
        <f>D37</f>
        <v>0</v>
      </c>
      <c r="T77" t="str">
        <f>IF(S77=C7,B7,IF(S77=C8,B8,IF(S77=C9,B9,IF(S77=C10,B10,B11))))</f>
        <v>Estelle</v>
      </c>
      <c r="U77" t="str">
        <f>CONCATENATE(T77,"'s Value")</f>
        <v>Estelle's Value</v>
      </c>
    </row>
    <row r="78" spans="2:21">
      <c r="B78" s="81" t="s">
        <v>82</v>
      </c>
      <c r="C78" s="81" t="s">
        <v>83</v>
      </c>
      <c r="D78" s="81" t="s">
        <v>84</v>
      </c>
      <c r="E78" s="81" t="s">
        <v>85</v>
      </c>
      <c r="F78" s="81" t="s">
        <v>86</v>
      </c>
      <c r="Q78" s="12">
        <f>Q77</f>
        <v>0</v>
      </c>
      <c r="R78">
        <v>1</v>
      </c>
      <c r="S78" s="12">
        <f>S77</f>
        <v>0</v>
      </c>
    </row>
    <row r="79" spans="2:21">
      <c r="B79" s="82">
        <f>IF(AND(D73="Correct",OR($K$8=0,$K$8=1)),B7,IF(AND(D71="Correct",OR($K$8=2,$K$8=3)),B10,IF(AND(D69="Correct",OR($K$8=4,$K$8=5)),B8,IF(AND(D73="Correct",OR($K$8=6,$K$8=7)),B10,IF(AND(D70="Correct",OR($K$8=8,$K$8=9)),B11,0)))))</f>
        <v>0</v>
      </c>
      <c r="C79" s="82">
        <f>IF(AND(D73="Correct",OR($K$8=0,$K$8=1)),E11,IF(AND(D71="Correct",OR($K$8=2,$K$8=3)),E9,IF(AND(D69="Correct",OR($K$8=4,$K$8=5)),E7,IF(AND(D73="Correct",OR($K$8=6,$K$8=7)),E11,IF(AND(D70="Correct",OR($K$8=8,$K$8=9)),E8,0)))))</f>
        <v>0</v>
      </c>
      <c r="D79" s="83">
        <f>IF($C$79=0,0,82.1)</f>
        <v>0</v>
      </c>
      <c r="E79" s="83">
        <f>IF($C$79=0,0,22.3)</f>
        <v>0</v>
      </c>
      <c r="F79" s="83">
        <f>IF($C$79=0,0,(D79+E79)/2)</f>
        <v>0</v>
      </c>
      <c r="Q79" s="18">
        <f>E35</f>
        <v>0</v>
      </c>
      <c r="R79">
        <v>1</v>
      </c>
      <c r="S79" s="18">
        <f>D36</f>
        <v>0</v>
      </c>
      <c r="T79" t="str">
        <f>IF(S79=C7,B7,IF(S79=C8,B8,IF(S79=C9,B9,IF(S79=C10,B10,B11))))</f>
        <v>Estelle</v>
      </c>
      <c r="U79" s="20" t="str">
        <f>CONCATENATE(T79,"'s Value")</f>
        <v>Estelle's Value</v>
      </c>
    </row>
    <row r="80" spans="2:21">
      <c r="B80" s="82">
        <f>IF(AND(D72="Correct",OR($K$8=0,$K$8=1)),B8,IF(AND(D70="Correct",OR($K$8=2,$K$8=3)),B11,IF(AND(D73="Correct",OR($K$8=4,$K$8=5)),B9,IF(AND(D69="Correct",OR($K$8=6,$K$8=7)),B9,IF(AND(D71="Correct",OR($K$8=8,$K$8=9)),B7,0)))))</f>
        <v>0</v>
      </c>
      <c r="C80" s="82">
        <f>IF(AND(D72="Correct",OR($K$8=0,$K$8=1)),E10,IF(AND(D70="Correct",OR($K$8=2,$K$8=3)),E8,IF(AND(D73="Correct",OR($K$8=4,$K$8=5)),E11,IF(AND(D69="Correct",OR($K$8=6,$K$8=7)),E7,IF(AND(D71="Correct",OR($K$8=8,$K$8=9)),E9,0)))))</f>
        <v>0</v>
      </c>
      <c r="D80" s="83">
        <f>IF($C$80=0,0,65.2)</f>
        <v>0</v>
      </c>
      <c r="E80" s="83">
        <f>IF($C$80=0,0,38.7)</f>
        <v>0</v>
      </c>
      <c r="F80" s="83">
        <f>IF($C$80=0,0,(D80+E80)/2)</f>
        <v>0</v>
      </c>
      <c r="Q80" s="12">
        <f>Q79</f>
        <v>0</v>
      </c>
      <c r="R80">
        <v>2</v>
      </c>
      <c r="S80" s="12">
        <f>S79</f>
        <v>0</v>
      </c>
    </row>
    <row r="81" spans="2:21">
      <c r="Q81" s="12">
        <f>E36</f>
        <v>0</v>
      </c>
      <c r="R81">
        <v>2</v>
      </c>
      <c r="S81" s="12">
        <f>D35</f>
        <v>0</v>
      </c>
      <c r="T81" t="str">
        <f>IF(S81=C7,B7,IF(S81=C8,B8,IF(S81=C9,B9,IF(S81=C10,B10,B11))))</f>
        <v>Estelle</v>
      </c>
      <c r="U81" t="str">
        <f>CONCATENATE(T81,"'s Value")</f>
        <v>Estelle's Value</v>
      </c>
    </row>
    <row r="82" spans="2:21">
      <c r="Q82" s="12">
        <f>Q81</f>
        <v>0</v>
      </c>
      <c r="R82">
        <v>3</v>
      </c>
      <c r="S82" s="12">
        <f>S81</f>
        <v>0</v>
      </c>
    </row>
    <row r="83" spans="2:21">
      <c r="Q83" s="12">
        <f>E37</f>
        <v>0</v>
      </c>
      <c r="R83">
        <v>3</v>
      </c>
      <c r="S83" s="12">
        <f>D34</f>
        <v>0</v>
      </c>
      <c r="T83" t="str">
        <f>IF(S83=C7,B7,IF(S83=C8,B8,IF(S83=C9,B9,IF(S83=C10,B10,B11))))</f>
        <v>Estelle</v>
      </c>
      <c r="U83" t="str">
        <f>CONCATENATE(T83,"'s Value")</f>
        <v>Estelle's Value</v>
      </c>
    </row>
    <row r="84" spans="2:21">
      <c r="B84" s="230" t="s">
        <v>87</v>
      </c>
      <c r="C84" s="230"/>
      <c r="D84" s="230"/>
      <c r="E84" s="230"/>
      <c r="F84" s="80"/>
      <c r="Q84" s="12">
        <f>Q83</f>
        <v>0</v>
      </c>
      <c r="R84">
        <v>4</v>
      </c>
      <c r="S84" s="12">
        <f>S83</f>
        <v>0</v>
      </c>
    </row>
    <row r="85" spans="2:21">
      <c r="B85" s="81" t="s">
        <v>82</v>
      </c>
      <c r="C85" s="81" t="s">
        <v>83</v>
      </c>
      <c r="D85" s="81" t="s">
        <v>84</v>
      </c>
      <c r="E85" s="81" t="s">
        <v>85</v>
      </c>
      <c r="Q85" s="12">
        <f>E41</f>
        <v>0</v>
      </c>
      <c r="R85">
        <v>4</v>
      </c>
      <c r="S85" s="12">
        <f>D41</f>
        <v>0</v>
      </c>
      <c r="T85" t="str">
        <f>IF(S85=C7,B7,IF(S85=C8,B8,IF(S85=C9,B9,IF(S85=C10,B10,B11))))</f>
        <v>Estelle</v>
      </c>
      <c r="U85" t="str">
        <f>CONCATENATE(T85,"'s Value")</f>
        <v>Estelle's Value</v>
      </c>
    </row>
    <row r="86" spans="2:21">
      <c r="B86" s="82">
        <f>IF(AND(K71="Correct",OR($K$8=0,$K$8=1)),B9,IF(AND(K69="Correct",OR($K$8=2,$K$8=3)),B7,IF(AND(K72="Correct",OR($K$8=4,$K$8=5)),B10,IF(AND(K70="Correct",OR($K$8=6,$K$8=7)),B8,IF(AND(K72="Correct",OR($K$8=8,$K$8=9)),B10,0)))))</f>
        <v>0</v>
      </c>
      <c r="C86" s="82">
        <f>IF(AND(D71="Correct",OR($K$8=0,$K$8=1)),E9,IF(AND(D69="Correct",OR($K$8=2,$K$8=3)),E7,IF(AND(D72="Correct",OR($K$8=4,$K$8=5)),E10,IF(AND(D70="Correct",OR($K$8=6,$K$8=7)),E8,IF(AND(D72="Correct",OR($K$8=8,$K$8=9)),E10,0)))))</f>
        <v>0</v>
      </c>
      <c r="D86" s="83">
        <f>IF($B$86=0,0,48.9)</f>
        <v>0</v>
      </c>
      <c r="E86" s="83">
        <f>IF($C$86=0,0,60.1)</f>
        <v>0</v>
      </c>
      <c r="Q86" s="12">
        <f>Q85</f>
        <v>0</v>
      </c>
      <c r="R86">
        <v>5</v>
      </c>
      <c r="S86" s="12">
        <f>S85</f>
        <v>0</v>
      </c>
    </row>
    <row r="87" spans="2:21">
      <c r="B87" s="82">
        <f>IF(AND(K72="Correct",OR($K$8=0,$K$8=1)),B10,IF(AND(K70="Correct",OR($K$8=2,$K$8=3)),B8,IF(AND(K73="Correct",OR($K$8=4,$K$8=5)),B11,IF(AND(K69="Correct",OR($K$8=6,$K$8=7)),B7,IF(AND(K71="Correct",OR($K$8=8,$K$8=9)),B9,0)))))</f>
        <v>0</v>
      </c>
      <c r="C87" s="82">
        <f>IF(AND(D70="Correct",OR($K$8=0,$K$8=1)),E8,IF(AND(D73="Correct",OR($K$8=2,$K$8=3)),E11,IF(AND(D71="Correct",OR($K$8=4,$K$8=5)),E9,IF(AND(D71="Correct",OR($K$8=6,$K$8=7)),E9,IF(AND(D69="Correct",OR($K$8=8,$K$8=9)),E7,0)))))</f>
        <v>0</v>
      </c>
      <c r="D87" s="83">
        <f>IF($B$87=0,0,31)</f>
        <v>0</v>
      </c>
      <c r="E87" s="83">
        <f>IF($C$87=0,0,70.5)</f>
        <v>0</v>
      </c>
      <c r="R87">
        <v>5</v>
      </c>
      <c r="S87" s="12">
        <v>0</v>
      </c>
    </row>
    <row r="88" spans="2:21">
      <c r="B88" s="47">
        <f>IF(AND(K73="Correct",OR($K$8=0,$K$8=1)),B11,IF(AND(K71="Correct",OR($K$8=2,$K$8=3)),B9,IF(AND(K69="Correct",OR($K$8=4,$K$8=5)),B7,IF(AND(K73="Correct",OR($K$8=6,$K$8=7)),B11,IF(AND(K70="Correct",OR($K$8=8,$K$8=9)),B8,0)))))</f>
        <v>0</v>
      </c>
      <c r="C88" s="47">
        <f>IF(AND(D69="Correct",OR($K$8=0,$K$8=1)),E7,IF(AND(D72="Correct",OR($K$8=2,$K$8=3)),E10,IF(AND(D70="Correct",OR($K$8=4,$K$8=5)),E8,IF(AND(D72="Correct",OR($K$8=6,$K$8=7)),E10,IF(AND(D73="Correct",OR($K$8=8,$K$8=9)),E11,0)))))</f>
        <v>0</v>
      </c>
      <c r="D88" s="83">
        <f>IF($B$88=0,0,14.5)</f>
        <v>0</v>
      </c>
      <c r="E88" s="83">
        <f>IF($C$88=0,0,89)</f>
        <v>0</v>
      </c>
    </row>
    <row r="89" spans="2:21">
      <c r="R89">
        <v>0</v>
      </c>
      <c r="S89" s="12">
        <f>S74</f>
        <v>30</v>
      </c>
    </row>
    <row r="90" spans="2:21">
      <c r="O90">
        <v>1</v>
      </c>
      <c r="R90">
        <v>6</v>
      </c>
      <c r="S90" s="12">
        <f>S74</f>
        <v>30</v>
      </c>
    </row>
    <row r="91" spans="2:21">
      <c r="F91" s="76" t="s">
        <v>88</v>
      </c>
      <c r="G91" s="75" t="s">
        <v>89</v>
      </c>
      <c r="I91" s="229" t="str">
        <f>IF(O90=1,CONCATENATE(B79," &amp; ",C79),IF(O90=2,CONCATENATE(B80," &amp; ",C80),IF(O90=3,"Out of the Market 1",IF(O90=4,"Out of the Market 2","Out of the Market 3"))))</f>
        <v>0 &amp; 0</v>
      </c>
      <c r="J91" s="229"/>
      <c r="K91" s="229"/>
    </row>
    <row r="93" spans="2:21">
      <c r="B93" s="225">
        <f>IF(AND(NOT(B79=0),NOT(B80=0)),CONCATENATE("Look at the price at which ",B79," and ",C79," trade. Can ",B80," and ",C80," trade at that price? What about vice versa?"),0)</f>
        <v>0</v>
      </c>
      <c r="C93" s="225"/>
      <c r="D93" s="225"/>
      <c r="E93" s="225"/>
      <c r="F93" s="225"/>
      <c r="I93">
        <f>IF(O90=1,B79,IF(O90=2,B80,IF(O90=3,B86,IF(O90=4,B87,B88))))</f>
        <v>0</v>
      </c>
      <c r="J93">
        <f>IF(O90=1,0,IF(O90=2,1,IF(O90=3,2,IF(O90=4,3,4))))</f>
        <v>0</v>
      </c>
      <c r="K93" s="26">
        <f>IF(O90=1,D79,IF(O90=2,D80,IF(O90=3,D86,IF(O90=4,D87,D88))))</f>
        <v>0</v>
      </c>
    </row>
    <row r="94" spans="2:21">
      <c r="B94" s="225"/>
      <c r="C94" s="225"/>
      <c r="D94" s="225"/>
      <c r="E94" s="225"/>
      <c r="F94" s="225"/>
      <c r="J94">
        <f>J93+1</f>
        <v>1</v>
      </c>
      <c r="K94" s="26">
        <f>K93</f>
        <v>0</v>
      </c>
    </row>
    <row r="95" spans="2:21">
      <c r="I95">
        <f>IF(O90=1,C79,IF(O90=2,C80,IF(O90=3,C86,IF(O90=4,C87,C88))))</f>
        <v>0</v>
      </c>
      <c r="J95">
        <f>IF(O90=1,0,IF(O90=2,1,IF(O90=3,2,IF(O90=4,3,4))))</f>
        <v>0</v>
      </c>
      <c r="K95" s="26">
        <f>IF(O90=1,E79,IF(O90=2,E80,IF(O90=3,E86,IF(O90=4,E87,E88))))</f>
        <v>0</v>
      </c>
      <c r="M95" t="s">
        <v>90</v>
      </c>
      <c r="N95">
        <v>0</v>
      </c>
      <c r="O95" s="26">
        <f>IF(P90=1,G79,IF(P90=2,G80,IF(P90=3,G81,IF(P90=4,G82,-10))))</f>
        <v>-10</v>
      </c>
    </row>
    <row r="96" spans="2:21">
      <c r="B96" s="227">
        <f>IF(OR(B93=0,H97=1),0,IF(H97=H98,CONCATENATE("That is correct. Both transactions prices are near $52.  This is above ",C80,"'s cost and below ",B80," 's value.  So either price can work for both transactions."),"Incorrect.  Sure they can.  Look again."))</f>
        <v>0</v>
      </c>
      <c r="C96" s="227"/>
      <c r="D96" s="227"/>
      <c r="E96" s="227"/>
      <c r="F96" s="227"/>
      <c r="J96">
        <f>J95+1</f>
        <v>1</v>
      </c>
      <c r="K96" s="26">
        <f>K95</f>
        <v>0</v>
      </c>
      <c r="M96" t="s">
        <v>91</v>
      </c>
      <c r="N96">
        <v>6</v>
      </c>
      <c r="O96" s="26">
        <f>O95</f>
        <v>-10</v>
      </c>
    </row>
    <row r="97" spans="2:11">
      <c r="B97" s="227"/>
      <c r="C97" s="227"/>
      <c r="D97" s="227"/>
      <c r="E97" s="227"/>
      <c r="F97" s="227"/>
      <c r="H97" s="113">
        <v>1</v>
      </c>
      <c r="I97" t="s">
        <v>90</v>
      </c>
      <c r="J97">
        <v>0</v>
      </c>
      <c r="K97" s="26">
        <f>IF(O90=1,F79,IF(O90=2,F80,-10))</f>
        <v>0</v>
      </c>
    </row>
    <row r="98" spans="2:11">
      <c r="H98" s="47">
        <v>2</v>
      </c>
      <c r="I98" t="s">
        <v>91</v>
      </c>
      <c r="J98">
        <v>6</v>
      </c>
      <c r="K98" s="26">
        <f>K97</f>
        <v>0</v>
      </c>
    </row>
    <row r="99" spans="2:11">
      <c r="B99" s="47">
        <f>IF(OR(B96=0,NOT(H97=2)),0,"Do any of the students or trainers who are out of the market want to trade at either of these prices?")</f>
        <v>0</v>
      </c>
    </row>
    <row r="100" spans="2:11">
      <c r="H100" s="113">
        <v>1</v>
      </c>
    </row>
    <row r="101" spans="2:11">
      <c r="H101" s="47">
        <v>3</v>
      </c>
    </row>
    <row r="102" spans="2:11" ht="12.75" customHeight="1">
      <c r="B102" s="226">
        <f>IF(OR(B99=0,H100=1),0,IF(H100=2,"Incorrect.  Which ones?",CONCATENATE("That is correct. Note that ",C86,"'s cost is above $52.  Likewise for the other trainers who are out of the market.  Similarly, ",B86,"'s value is below $52 as is the value of the other students who are out of the market.")))</f>
        <v>0</v>
      </c>
      <c r="C102" s="226"/>
      <c r="D102" s="226"/>
      <c r="E102" s="226"/>
      <c r="F102" s="226"/>
    </row>
    <row r="103" spans="2:11">
      <c r="B103" s="226"/>
      <c r="C103" s="226"/>
      <c r="D103" s="226"/>
      <c r="E103" s="226"/>
      <c r="F103" s="226"/>
    </row>
    <row r="104" spans="2:11">
      <c r="B104" s="226"/>
      <c r="C104" s="226"/>
      <c r="D104" s="226"/>
      <c r="E104" s="226"/>
      <c r="F104" s="226"/>
    </row>
    <row r="106" spans="2:11">
      <c r="B106" s="225">
        <f>IF(OR(B102=0,NOT(H100=3)),0,CONCATENATE("Suppose one of these prices prevailed generally.  Would ",B79," care whether the lesson was given by ",C79," or ",C80,"?  Would ",B80," care?"))</f>
        <v>0</v>
      </c>
      <c r="C106" s="225"/>
      <c r="D106" s="225"/>
      <c r="E106" s="225"/>
      <c r="F106" s="225"/>
      <c r="H106" s="113">
        <v>1</v>
      </c>
      <c r="I106" t="s">
        <v>93</v>
      </c>
    </row>
    <row r="107" spans="2:11">
      <c r="B107" s="225"/>
      <c r="C107" s="225"/>
      <c r="D107" s="225"/>
      <c r="E107" s="225"/>
      <c r="F107" s="225"/>
      <c r="H107" s="47">
        <v>2</v>
      </c>
      <c r="I107" t="s">
        <v>90</v>
      </c>
    </row>
    <row r="108" spans="2:11">
      <c r="I108" t="s">
        <v>91</v>
      </c>
    </row>
    <row r="110" spans="2:11">
      <c r="B110" s="227">
        <f>IF(OR(B106=0,H106=1),0,IF(H106=2,"That is correct. If the students perceived the lessons were the same irrespective of the trainer, they wouldn't care.  If they think the trainer matters, they'd care.",IF(H106=3,"Incorrect.  If the students think the trainer matters that's right, but not otherwise.","Incorrect.  If the students think the trainer doesn't matter that's right, but not otherwise.")))</f>
        <v>0</v>
      </c>
      <c r="C110" s="227"/>
      <c r="D110" s="227"/>
      <c r="E110" s="227"/>
      <c r="F110" s="227"/>
    </row>
    <row r="111" spans="2:11">
      <c r="B111" s="227"/>
      <c r="C111" s="227"/>
      <c r="D111" s="227"/>
      <c r="E111" s="227"/>
      <c r="F111" s="227"/>
    </row>
    <row r="113" spans="2:8" ht="12.75" customHeight="1">
      <c r="B113" s="225">
        <f>IF(OR(B110=0,NOT(H106=2)),0,H113)</f>
        <v>0</v>
      </c>
      <c r="C113" s="225"/>
      <c r="D113" s="225"/>
      <c r="E113" s="225"/>
      <c r="F113" s="225"/>
      <c r="H113" s="47" t="s">
        <v>305</v>
      </c>
    </row>
    <row r="114" spans="2:8">
      <c r="B114" s="225">
        <f>IF(B113=0,0,H114)</f>
        <v>0</v>
      </c>
      <c r="C114" s="225"/>
      <c r="D114" s="225"/>
      <c r="E114" s="225"/>
      <c r="F114" s="225"/>
      <c r="H114" s="47" t="s">
        <v>306</v>
      </c>
    </row>
    <row r="115" spans="2:8">
      <c r="B115" s="225">
        <f>IF(B114=0,0,H115)</f>
        <v>0</v>
      </c>
      <c r="C115" s="225"/>
      <c r="D115" s="225"/>
      <c r="E115" s="225"/>
      <c r="F115" s="225"/>
      <c r="H115" s="47" t="s">
        <v>307</v>
      </c>
    </row>
    <row r="116" spans="2:8">
      <c r="B116" s="225">
        <f>IF(B115=0,0,H116)</f>
        <v>0</v>
      </c>
      <c r="C116" s="225"/>
      <c r="D116" s="225"/>
      <c r="E116" s="225"/>
      <c r="F116" s="225"/>
      <c r="H116" s="47" t="s">
        <v>308</v>
      </c>
    </row>
    <row r="117" spans="2:8">
      <c r="B117" s="87"/>
      <c r="C117" s="87"/>
      <c r="D117" s="87"/>
      <c r="E117" s="87"/>
      <c r="F117" s="87"/>
    </row>
    <row r="118" spans="2:8" ht="12.75" customHeight="1">
      <c r="B118" s="225">
        <f>IF(B116=0,0,H118)</f>
        <v>0</v>
      </c>
      <c r="C118" s="225"/>
      <c r="D118" s="225"/>
      <c r="E118" s="225"/>
      <c r="F118" s="225"/>
      <c r="H118" s="47" t="str">
        <f>CONCATENATE("When athletic training is a homogeneous product and if the price ",B79," pays ",C79)</f>
        <v>When athletic training is a homogeneous product and if the price 0 pays 0</v>
      </c>
    </row>
    <row r="119" spans="2:8">
      <c r="B119" s="225">
        <f>IF(B118=0,0,H119)</f>
        <v>0</v>
      </c>
      <c r="C119" s="225"/>
      <c r="D119" s="225"/>
      <c r="E119" s="225"/>
      <c r="F119" s="225"/>
      <c r="H119" s="47" t="s">
        <v>94</v>
      </c>
    </row>
    <row r="120" spans="2:8">
      <c r="B120" s="225">
        <f>IF(B119=0,0,H120)</f>
        <v>0</v>
      </c>
      <c r="C120" s="225"/>
      <c r="D120" s="225"/>
      <c r="E120" s="225"/>
      <c r="F120" s="225"/>
      <c r="H120" s="47" t="s">
        <v>95</v>
      </c>
    </row>
    <row r="121" spans="2:8">
      <c r="B121" s="225">
        <f>IF(B120=0,0,H121)</f>
        <v>0</v>
      </c>
      <c r="C121" s="225"/>
      <c r="D121" s="225"/>
      <c r="E121" s="225"/>
      <c r="F121" s="225"/>
      <c r="H121" s="47" t="s">
        <v>96</v>
      </c>
    </row>
    <row r="123" spans="2:8" ht="12.75" customHeight="1">
      <c r="B123" s="225">
        <f>IF(B121=0,0,H123)</f>
        <v>0</v>
      </c>
      <c r="C123" s="225"/>
      <c r="D123" s="225"/>
      <c r="E123" s="225"/>
      <c r="F123" s="225"/>
      <c r="H123" s="47" t="s">
        <v>97</v>
      </c>
    </row>
    <row r="124" spans="2:8">
      <c r="B124" s="225">
        <f t="shared" ref="B124:B129" si="0">IF(B123=0,0,H124)</f>
        <v>0</v>
      </c>
      <c r="C124" s="225"/>
      <c r="D124" s="225"/>
      <c r="E124" s="225"/>
      <c r="F124" s="225"/>
      <c r="H124" s="47" t="s">
        <v>98</v>
      </c>
    </row>
    <row r="125" spans="2:8">
      <c r="B125" s="225">
        <f t="shared" si="0"/>
        <v>0</v>
      </c>
      <c r="C125" s="225"/>
      <c r="D125" s="225"/>
      <c r="E125" s="225"/>
      <c r="F125" s="225"/>
      <c r="H125" s="47" t="s">
        <v>99</v>
      </c>
    </row>
    <row r="126" spans="2:8">
      <c r="B126" s="225">
        <f t="shared" si="0"/>
        <v>0</v>
      </c>
      <c r="C126" s="225"/>
      <c r="D126" s="225"/>
      <c r="E126" s="225"/>
      <c r="F126" s="225"/>
      <c r="H126" s="47" t="str">
        <f>CONCATENATE("equilibrium prices (any price between ",B86,"'s value and ",C86,"'s cost will work).  That,")</f>
        <v>equilibrium prices (any price between 0's value and 0's cost will work).  That,</v>
      </c>
    </row>
    <row r="127" spans="2:8">
      <c r="B127" s="225">
        <f t="shared" si="0"/>
        <v>0</v>
      </c>
      <c r="C127" s="225"/>
      <c r="D127" s="225"/>
      <c r="E127" s="225"/>
      <c r="F127" s="225"/>
      <c r="H127" s="47" t="s">
        <v>100</v>
      </c>
    </row>
    <row r="128" spans="2:8">
      <c r="B128" s="225">
        <f t="shared" si="0"/>
        <v>0</v>
      </c>
      <c r="C128" s="225"/>
      <c r="D128" s="225"/>
      <c r="E128" s="225"/>
      <c r="F128" s="225"/>
      <c r="H128" s="47" t="s">
        <v>101</v>
      </c>
    </row>
    <row r="129" spans="2:8">
      <c r="B129" s="225">
        <f t="shared" si="0"/>
        <v>0</v>
      </c>
      <c r="C129" s="225"/>
      <c r="D129" s="225"/>
      <c r="E129" s="225"/>
      <c r="F129" s="225"/>
      <c r="H129" s="47" t="s">
        <v>102</v>
      </c>
    </row>
    <row r="131" spans="2:8" ht="16">
      <c r="E131" s="88">
        <f>IF(B129=0,0,"Very Good! Go to the next sheet.")</f>
        <v>0</v>
      </c>
    </row>
  </sheetData>
  <mergeCells count="32">
    <mergeCell ref="B1:G4"/>
    <mergeCell ref="B13:G19"/>
    <mergeCell ref="B96:F97"/>
    <mergeCell ref="I91:K91"/>
    <mergeCell ref="B93:F94"/>
    <mergeCell ref="B60:G64"/>
    <mergeCell ref="B32:E32"/>
    <mergeCell ref="B84:E84"/>
    <mergeCell ref="B77:E77"/>
    <mergeCell ref="B39:E39"/>
    <mergeCell ref="B48:F49"/>
    <mergeCell ref="B52:F53"/>
    <mergeCell ref="B57:F58"/>
    <mergeCell ref="I46:K46"/>
    <mergeCell ref="B119:F119"/>
    <mergeCell ref="B120:F120"/>
    <mergeCell ref="B102:F104"/>
    <mergeCell ref="B106:F107"/>
    <mergeCell ref="B110:F111"/>
    <mergeCell ref="B113:F113"/>
    <mergeCell ref="B114:F114"/>
    <mergeCell ref="B115:F115"/>
    <mergeCell ref="B116:F116"/>
    <mergeCell ref="B118:F118"/>
    <mergeCell ref="B128:F128"/>
    <mergeCell ref="B129:F129"/>
    <mergeCell ref="B121:F121"/>
    <mergeCell ref="B123:F123"/>
    <mergeCell ref="B124:F124"/>
    <mergeCell ref="B125:F125"/>
    <mergeCell ref="B127:F127"/>
    <mergeCell ref="B126:F126"/>
  </mergeCells>
  <phoneticPr fontId="8" type="noConversion"/>
  <conditionalFormatting sqref="K24:K28 D69:D73 K69:K73 D24:D28">
    <cfRule type="cellIs" dxfId="32" priority="1" stopIfTrue="1" operator="equal">
      <formula>"Incorrect"</formula>
    </cfRule>
    <cfRule type="cellIs" dxfId="31" priority="2" stopIfTrue="1" operator="equal">
      <formula>"Correct"</formula>
    </cfRule>
  </conditionalFormatting>
  <conditionalFormatting sqref="D34:F37 D41:E41 N46:N52 D79:F80 D86:E88 K93:K98 O95:O96">
    <cfRule type="cellIs" dxfId="30" priority="3" stopIfTrue="1" operator="equal">
      <formula>0</formula>
    </cfRule>
  </conditionalFormatting>
  <conditionalFormatting sqref="B52:F53">
    <cfRule type="cellIs" dxfId="29" priority="4" stopIfTrue="1" operator="equal">
      <formula>"Really?  What price works?"</formula>
    </cfRule>
  </conditionalFormatting>
  <conditionalFormatting sqref="B57:F58">
    <cfRule type="cellIs" dxfId="28" priority="5" stopIfTrue="1" operator="equal">
      <formula>"How many pairs of students and trainers are there in the Trades table?"</formula>
    </cfRule>
  </conditionalFormatting>
  <conditionalFormatting sqref="B96:F97">
    <cfRule type="cellIs" dxfId="27" priority="6" stopIfTrue="1" operator="equal">
      <formula>"Sure it can.  Look again."</formula>
    </cfRule>
  </conditionalFormatting>
  <conditionalFormatting sqref="B102:F104">
    <cfRule type="cellIs" dxfId="26" priority="7" stopIfTrue="1" operator="equal">
      <formula>"Really? Which ones?"</formula>
    </cfRule>
  </conditionalFormatting>
  <conditionalFormatting sqref="B110:F111">
    <cfRule type="cellIs" dxfId="25" priority="8" stopIfTrue="1" operator="equal">
      <formula>"If the students think the trainer matters that's right, but not otherwise."</formula>
    </cfRule>
    <cfRule type="cellIs" dxfId="24" priority="9" stopIfTrue="1" operator="equal">
      <formula>"If the students think the trainer doesn't matter that's right, but not otherwise."</formula>
    </cfRule>
  </conditionalFormatting>
  <pageMargins left="0.75" right="0.75" top="1" bottom="1" header="0.5" footer="0.5"/>
  <pageSetup orientation="portrait" horizontalDpi="200" verticalDpi="2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9180" r:id="rId3" name="Drop Down 28">
              <controlPr defaultSize="0" autoLine="0" autoPict="0">
                <anchor moveWithCells="1">
                  <from>
                    <xdr:col>5</xdr:col>
                    <xdr:colOff>190500</xdr:colOff>
                    <xdr:row>48</xdr:row>
                    <xdr:rowOff>25400</xdr:rowOff>
                  </from>
                  <to>
                    <xdr:col>5</xdr:col>
                    <xdr:colOff>546100</xdr:colOff>
                    <xdr:row>49</xdr:row>
                    <xdr:rowOff>50800</xdr:rowOff>
                  </to>
                </anchor>
              </controlPr>
            </control>
          </mc:Choice>
          <mc:Fallback/>
        </mc:AlternateContent>
        <mc:AlternateContent xmlns:mc="http://schemas.openxmlformats.org/markup-compatibility/2006">
          <mc:Choice Requires="x14">
            <control shapeId="49181" r:id="rId4" name="Drop Down 29">
              <controlPr defaultSize="0" autoLine="0" autoPict="0">
                <anchor moveWithCells="1">
                  <from>
                    <xdr:col>5</xdr:col>
                    <xdr:colOff>12700</xdr:colOff>
                    <xdr:row>54</xdr:row>
                    <xdr:rowOff>25400</xdr:rowOff>
                  </from>
                  <to>
                    <xdr:col>5</xdr:col>
                    <xdr:colOff>368300</xdr:colOff>
                    <xdr:row>55</xdr:row>
                    <xdr:rowOff>50800</xdr:rowOff>
                  </to>
                </anchor>
              </controlPr>
            </control>
          </mc:Choice>
          <mc:Fallback/>
        </mc:AlternateContent>
        <mc:AlternateContent xmlns:mc="http://schemas.openxmlformats.org/markup-compatibility/2006">
          <mc:Choice Requires="x14">
            <control shapeId="49189" r:id="rId5" name="Spinner 37">
              <controlPr defaultSize="0" autoPict="0">
                <anchor moveWithCells="1" sizeWithCells="1">
                  <from>
                    <xdr:col>7</xdr:col>
                    <xdr:colOff>139700</xdr:colOff>
                    <xdr:row>44</xdr:row>
                    <xdr:rowOff>50800</xdr:rowOff>
                  </from>
                  <to>
                    <xdr:col>7</xdr:col>
                    <xdr:colOff>292100</xdr:colOff>
                    <xdr:row>46</xdr:row>
                    <xdr:rowOff>25400</xdr:rowOff>
                  </to>
                </anchor>
              </controlPr>
            </control>
          </mc:Choice>
          <mc:Fallback/>
        </mc:AlternateContent>
        <mc:AlternateContent xmlns:mc="http://schemas.openxmlformats.org/markup-compatibility/2006">
          <mc:Choice Requires="x14">
            <control shapeId="49190" r:id="rId6" name="Spinner 38">
              <controlPr defaultSize="0" autoPict="0">
                <anchor moveWithCells="1" sizeWithCells="1">
                  <from>
                    <xdr:col>7</xdr:col>
                    <xdr:colOff>139700</xdr:colOff>
                    <xdr:row>89</xdr:row>
                    <xdr:rowOff>50800</xdr:rowOff>
                  </from>
                  <to>
                    <xdr:col>7</xdr:col>
                    <xdr:colOff>292100</xdr:colOff>
                    <xdr:row>91</xdr:row>
                    <xdr:rowOff>25400</xdr:rowOff>
                  </to>
                </anchor>
              </controlPr>
            </control>
          </mc:Choice>
          <mc:Fallback/>
        </mc:AlternateContent>
        <mc:AlternateContent xmlns:mc="http://schemas.openxmlformats.org/markup-compatibility/2006">
          <mc:Choice Requires="x14">
            <control shapeId="49191" r:id="rId7" name="Drop Down 39">
              <controlPr defaultSize="0" autoLine="0" autoPict="0">
                <anchor moveWithCells="1">
                  <from>
                    <xdr:col>2</xdr:col>
                    <xdr:colOff>508000</xdr:colOff>
                    <xdr:row>93</xdr:row>
                    <xdr:rowOff>0</xdr:rowOff>
                  </from>
                  <to>
                    <xdr:col>3</xdr:col>
                    <xdr:colOff>139700</xdr:colOff>
                    <xdr:row>94</xdr:row>
                    <xdr:rowOff>25400</xdr:rowOff>
                  </to>
                </anchor>
              </controlPr>
            </control>
          </mc:Choice>
          <mc:Fallback/>
        </mc:AlternateContent>
        <mc:AlternateContent xmlns:mc="http://schemas.openxmlformats.org/markup-compatibility/2006">
          <mc:Choice Requires="x14">
            <control shapeId="49192" r:id="rId8" name="Drop Down 40">
              <controlPr defaultSize="0" autoLine="0" autoPict="0">
                <anchor moveWithCells="1">
                  <from>
                    <xdr:col>5</xdr:col>
                    <xdr:colOff>812800</xdr:colOff>
                    <xdr:row>98</xdr:row>
                    <xdr:rowOff>101600</xdr:rowOff>
                  </from>
                  <to>
                    <xdr:col>5</xdr:col>
                    <xdr:colOff>1130300</xdr:colOff>
                    <xdr:row>100</xdr:row>
                    <xdr:rowOff>12700</xdr:rowOff>
                  </to>
                </anchor>
              </controlPr>
            </control>
          </mc:Choice>
          <mc:Fallback/>
        </mc:AlternateContent>
        <mc:AlternateContent xmlns:mc="http://schemas.openxmlformats.org/markup-compatibility/2006">
          <mc:Choice Requires="x14">
            <control shapeId="49193" r:id="rId9" name="Drop Down 41">
              <controlPr defaultSize="0" autoLine="0" autoPict="0">
                <anchor moveWithCells="1">
                  <from>
                    <xdr:col>4</xdr:col>
                    <xdr:colOff>228600</xdr:colOff>
                    <xdr:row>106</xdr:row>
                    <xdr:rowOff>12700</xdr:rowOff>
                  </from>
                  <to>
                    <xdr:col>5</xdr:col>
                    <xdr:colOff>381000</xdr:colOff>
                    <xdr:row>107</xdr:row>
                    <xdr:rowOff>50800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Login</vt:lpstr>
      <vt:lpstr>Marks</vt:lpstr>
      <vt:lpstr>ConstructingDemand</vt:lpstr>
      <vt:lpstr>ConstructingDemandSols</vt:lpstr>
      <vt:lpstr>BuildingDemand</vt:lpstr>
      <vt:lpstr>BuildingSupply</vt:lpstr>
      <vt:lpstr>ConstructingSupply</vt:lpstr>
      <vt:lpstr>Trade</vt:lpstr>
      <vt:lpstr>TradeSols</vt:lpstr>
      <vt:lpstr>Scale</vt:lpstr>
      <vt:lpstr>ScalSols</vt:lpstr>
      <vt:lpstr>ConDviSols</vt:lpstr>
      <vt:lpstr>MarketMaker</vt:lpstr>
      <vt:lpstr>Responses</vt:lpstr>
      <vt:lpstr>MMSols</vt:lpstr>
      <vt:lpstr>ConDivSols</vt:lpstr>
      <vt:lpstr>CSSols</vt:lpstr>
      <vt:lpstr>ID</vt:lpstr>
      <vt:lpstr>Submission</vt:lpstr>
    </vt:vector>
  </TitlesOfParts>
  <Company>University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Lanny Arvan</dc:creator>
  <cp:lastModifiedBy>Lanny Arvan</cp:lastModifiedBy>
  <cp:lastPrinted>2002-07-27T16:07:51Z</cp:lastPrinted>
  <dcterms:created xsi:type="dcterms:W3CDTF">2001-11-13T12:27:04Z</dcterms:created>
  <dcterms:modified xsi:type="dcterms:W3CDTF">2015-07-11T12:10:55Z</dcterms:modified>
</cp:coreProperties>
</file>